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780" windowHeight="12405" activeTab="0"/>
  </bookViews>
  <sheets>
    <sheet name="Eingabe" sheetId="1" r:id="rId1"/>
    <sheet name="Anleitung" sheetId="2" r:id="rId2"/>
  </sheets>
  <definedNames/>
  <calcPr fullCalcOnLoad="1"/>
</workbook>
</file>

<file path=xl/sharedStrings.xml><?xml version="1.0" encoding="utf-8"?>
<sst xmlns="http://schemas.openxmlformats.org/spreadsheetml/2006/main" count="614" uniqueCount="65">
  <si>
    <t>Eingleisiger Gewölbetunnel nach NEM 105</t>
  </si>
  <si>
    <t>1. Schritt</t>
  </si>
  <si>
    <t>Spurweite wählen:</t>
  </si>
  <si>
    <t>2. Schritt</t>
  </si>
  <si>
    <t>mit Oberleitung?:</t>
  </si>
  <si>
    <t>Nein</t>
  </si>
  <si>
    <t>3. Schritt</t>
  </si>
  <si>
    <t>Gleis mit Bogen oder gerade</t>
  </si>
  <si>
    <t>4. Schritt</t>
  </si>
  <si>
    <t>5. Schritt</t>
  </si>
  <si>
    <t>längster Wagen kleiner als:</t>
  </si>
  <si>
    <t>Ergebnis 1</t>
  </si>
  <si>
    <t>m2 Höhe über SO</t>
  </si>
  <si>
    <t>[mm]</t>
  </si>
  <si>
    <t>Ergebnis 2</t>
  </si>
  <si>
    <t>m1 Rechtswert</t>
  </si>
  <si>
    <t>Ergebnis 3</t>
  </si>
  <si>
    <t>m1 Höhe über SO</t>
  </si>
  <si>
    <t>Ergebnis 4</t>
  </si>
  <si>
    <t>R1 um m1 bis a</t>
  </si>
  <si>
    <t>Ergebnis 5</t>
  </si>
  <si>
    <t>R2 um m2</t>
  </si>
  <si>
    <t>Hilfstabellen für die Berechnung</t>
  </si>
  <si>
    <t>Z</t>
  </si>
  <si>
    <t>N</t>
  </si>
  <si>
    <t>TT</t>
  </si>
  <si>
    <t>H0</t>
  </si>
  <si>
    <t>S</t>
  </si>
  <si>
    <t>I</t>
  </si>
  <si>
    <t>II</t>
  </si>
  <si>
    <t>G</t>
  </si>
  <si>
    <t>B1</t>
  </si>
  <si>
    <t>O</t>
  </si>
  <si>
    <t>ausgewählt wurde:</t>
  </si>
  <si>
    <t>Tabelle 2 Oberleitung:</t>
  </si>
  <si>
    <t>Ja</t>
  </si>
  <si>
    <t>gerade</t>
  </si>
  <si>
    <t>Bogen</t>
  </si>
  <si>
    <t>ausgewählt:</t>
  </si>
  <si>
    <t>Tabelle 3 Gerade/Bogen</t>
  </si>
  <si>
    <t>A</t>
  </si>
  <si>
    <t>B</t>
  </si>
  <si>
    <t>C</t>
  </si>
  <si>
    <t>x</t>
  </si>
  <si>
    <t>Gleis-radius</t>
  </si>
  <si>
    <t>E</t>
  </si>
  <si>
    <t>Gleisabstand</t>
  </si>
  <si>
    <t>Bogenradius:</t>
  </si>
  <si>
    <t>Tabelle 5 Maßtabelle für E und Gleisabstände</t>
  </si>
  <si>
    <t>Tabelle 4 Wagenkastenlänge</t>
  </si>
  <si>
    <t>Tabelle 1 Spurweite:</t>
  </si>
  <si>
    <t>Zweigleisiger Gewölbetunnel nach NEM 105</t>
  </si>
  <si>
    <t>Bogenradius (innen)</t>
  </si>
  <si>
    <t>6. Schritt</t>
  </si>
  <si>
    <t>Gleisabstand (Mitte-Mitte)</t>
  </si>
  <si>
    <t>m1 und m2 Höhe über SO</t>
  </si>
  <si>
    <t>R1 um m1</t>
  </si>
  <si>
    <t>eingleisig</t>
  </si>
  <si>
    <t>zweigleisig</t>
  </si>
  <si>
    <t>Wahlmöglich-keiten</t>
  </si>
  <si>
    <t>Wahl-möglich-keiten</t>
  </si>
  <si>
    <t>Abstand</t>
  </si>
  <si>
    <t>Für die Konstruktion eines eingleisigen Gewölbetunnels werden die Ausgangsdaten in die grün hinterlegten Eingabefelder der EXCEL-Tabelle eingetragen. Für alle Eingabefelder sind Daten aus den hinterlegten Auswahllisten zu übernehmen. Der Bogenradius und die Wagenkastenlänge spielen aber nur dann eine Rolle, wenn das Tunnelportal im Gleisbogen aufgestellt werden soll. Ist der eigene Gleisradius in der Auswahlliste nicht vorhanden, so ist der nächst kleinere zu wählen. Als Ergebnis werden 5 Maßangaben für die Konstruktion berechnet, deren Bedeutung aus der beigefügten Skizze ersichtlich ist. Entweder auf Papier oder per PC werden die Mittelpunkte m1 und m2 ermittelt. Legt man nun eine Gerade mit der Länge R1 von m1 durch m2, so erhält man den Punkt des Tunnelgewölbes, an dem die beiden Radien wechseln. Mit R1 um den Mittelpunkt m1 wird von diesem Punkt abwärts die erste Gewölbeseitenwand gezeichnet. Die gegenüberliegende Seitenwand wird spiegelbildlich genau so konstruiert. Das Gewölbedach erhält man dann durch einen Radius R2 um den Mittelpunkt m2. Die Tunnelwand kann im unteren Bereich auch senkrecht ausgeführt werden, eine Innenwölbung muss also nicht sein.
Alle Angaben ohne Gewähr!</t>
  </si>
  <si>
    <t>Für die Konstruktion eines zweigleisigen Gewölbetunnels werden die Ausgangsdaten in die grün hinterlegten Eingabefelder der EXCEL-Tabelle eingetragen. Für alle Eingabefelder sind Daten aus den hinterlegten Auswahllisten zu übernehmen, ausgenommen der geplante oder vorgegebene Gleismittenabstand der in mm eingegeben wird. Der kleinste zulässige Gleismittenabstand wird im Feld rechts neben dem Eingabefeld angezeigt. Der Bogenradius (innen) und die Wagenkastenlänge spielen aber nur dann eine Rolle, wenn das Tunnelportal im Gleisbogen aufgestellt werden soll. Ist der eigene Gleisradius in der Auswahlliste nicht vorhanden, so ist der nächst kleinere zu wählen. Als Ergebnis erhält man 3 Maßangaben für die Konstruktion berechnet, deren Bedeutung aus der beigefügten Skizze ersichtlich ist. Zunächst wird der Punkt m1 über der Schinenoberkante bestimmt. Auf einer horizontalen Hilfslinie im Abstand R1 liegt dann der Punkt m2. Die Tunnelseitenwände werden mittels des Radius R2 um m2 abwärts gezeichnet (andere Wand entsprechend spiegelbildlich). Das Tunneldach wird mit dem Radius R1 (=halber R2) um den Mittelpunkt m1 gezeichnet.
An der horizontalen Hilfslinie gehen die beiden Radien ineinander über.
Alle Angaben ohne Gewähr!</t>
  </si>
  <si>
    <t>Tab. 6 Gleisabstände freie Strecke (Min.)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</si>
</sst>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8">
    <font>
      <sz val="10"/>
      <name val="Arial"/>
      <family val="0"/>
    </font>
    <font>
      <b/>
      <sz val="12"/>
      <name val="Arial"/>
      <family val="2"/>
    </font>
    <font>
      <b/>
      <sz val="10"/>
      <name val="Arial"/>
      <family val="2"/>
    </font>
    <font>
      <sz val="8"/>
      <name val="Arial"/>
      <family val="0"/>
    </font>
    <font>
      <u val="single"/>
      <sz val="10"/>
      <color indexed="12"/>
      <name val="Arial"/>
      <family val="0"/>
    </font>
    <font>
      <u val="single"/>
      <sz val="10"/>
      <color indexed="36"/>
      <name val="Arial"/>
      <family val="0"/>
    </font>
    <font>
      <sz val="8"/>
      <name val="Tahoma"/>
      <family val="2"/>
    </font>
    <font>
      <b/>
      <sz val="10"/>
      <color indexed="10"/>
      <name val="Arial"/>
      <family val="2"/>
    </font>
  </fonts>
  <fills count="6">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0" fillId="0" borderId="1" xfId="0" applyBorder="1" applyAlignment="1">
      <alignment/>
    </xf>
    <xf numFmtId="49" fontId="0" fillId="2" borderId="1" xfId="0" applyNumberFormat="1" applyFill="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xf>
    <xf numFmtId="164" fontId="0" fillId="0" borderId="1" xfId="0" applyNumberFormat="1" applyBorder="1" applyAlignment="1">
      <alignment/>
    </xf>
    <xf numFmtId="49" fontId="2" fillId="0" borderId="1" xfId="0" applyNumberFormat="1" applyFont="1" applyBorder="1" applyAlignment="1">
      <alignment/>
    </xf>
    <xf numFmtId="0" fontId="2" fillId="0" borderId="1" xfId="0" applyFont="1" applyBorder="1" applyAlignment="1">
      <alignment/>
    </xf>
    <xf numFmtId="0" fontId="0" fillId="0" borderId="1" xfId="0" applyBorder="1" applyAlignment="1">
      <alignment/>
    </xf>
    <xf numFmtId="0" fontId="0" fillId="3" borderId="1"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lignment/>
    </xf>
    <xf numFmtId="0" fontId="0" fillId="0" borderId="0" xfId="0" applyBorder="1" applyAlignment="1">
      <alignment/>
    </xf>
    <xf numFmtId="49" fontId="2" fillId="0" borderId="1" xfId="0" applyNumberFormat="1" applyFont="1" applyBorder="1" applyAlignment="1">
      <alignment horizontal="center"/>
    </xf>
    <xf numFmtId="0" fontId="0" fillId="0" borderId="1" xfId="0" applyFont="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0" fillId="0"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 xfId="0" applyBorder="1" applyAlignment="1" applyProtection="1">
      <alignment/>
      <protection hidden="1"/>
    </xf>
    <xf numFmtId="0" fontId="0" fillId="0" borderId="0" xfId="0" applyFill="1" applyBorder="1" applyAlignment="1" applyProtection="1">
      <alignment/>
      <protection hidden="1"/>
    </xf>
    <xf numFmtId="1" fontId="0" fillId="4" borderId="1" xfId="0" applyNumberFormat="1" applyFill="1" applyBorder="1" applyAlignment="1">
      <alignment horizontal="center"/>
    </xf>
    <xf numFmtId="1" fontId="0" fillId="0" borderId="0" xfId="0" applyNumberFormat="1" applyAlignment="1">
      <alignment/>
    </xf>
    <xf numFmtId="0" fontId="2" fillId="0" borderId="0" xfId="0" applyFont="1" applyAlignment="1">
      <alignment/>
    </xf>
    <xf numFmtId="0" fontId="0" fillId="0" borderId="2" xfId="0" applyBorder="1" applyAlignment="1">
      <alignment/>
    </xf>
    <xf numFmtId="0" fontId="2" fillId="0" borderId="3" xfId="0" applyFont="1" applyBorder="1" applyAlignment="1">
      <alignment/>
    </xf>
    <xf numFmtId="49" fontId="0" fillId="0" borderId="1" xfId="0" applyNumberFormat="1" applyFont="1" applyBorder="1" applyAlignment="1">
      <alignment/>
    </xf>
    <xf numFmtId="0" fontId="2" fillId="0" borderId="2" xfId="0" applyNumberFormat="1" applyFont="1" applyBorder="1" applyAlignment="1">
      <alignment/>
    </xf>
    <xf numFmtId="0" fontId="2" fillId="0" borderId="2" xfId="0" applyFont="1" applyBorder="1" applyAlignment="1">
      <alignment/>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2" fillId="3" borderId="3" xfId="0" applyFont="1" applyFill="1" applyBorder="1" applyAlignment="1">
      <alignment/>
    </xf>
    <xf numFmtId="0" fontId="0" fillId="3" borderId="8" xfId="0" applyFill="1" applyBorder="1" applyAlignment="1">
      <alignment/>
    </xf>
    <xf numFmtId="0" fontId="0" fillId="3" borderId="9" xfId="0" applyFill="1" applyBorder="1" applyAlignment="1">
      <alignment/>
    </xf>
    <xf numFmtId="0" fontId="0" fillId="0" borderId="1" xfId="0" applyBorder="1" applyAlignment="1">
      <alignment horizontal="center"/>
    </xf>
    <xf numFmtId="0" fontId="2" fillId="0" borderId="1" xfId="0" applyFont="1" applyFill="1" applyBorder="1" applyAlignment="1">
      <alignment horizontal="center"/>
    </xf>
    <xf numFmtId="0" fontId="0" fillId="0" borderId="1" xfId="0" applyBorder="1" applyAlignment="1" applyProtection="1">
      <alignment horizontal="center"/>
      <protection hidden="1"/>
    </xf>
    <xf numFmtId="0" fontId="2" fillId="0" borderId="1" xfId="0" applyFont="1"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xf>
    <xf numFmtId="49" fontId="2" fillId="3" borderId="3" xfId="0" applyNumberFormat="1" applyFont="1" applyFill="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1" fillId="5" borderId="1" xfId="0" applyFont="1" applyFill="1" applyBorder="1" applyAlignment="1">
      <alignment horizontal="center" vertical="top"/>
    </xf>
    <xf numFmtId="0" fontId="0" fillId="0" borderId="14" xfId="0" applyBorder="1" applyAlignment="1">
      <alignment horizontal="center"/>
    </xf>
    <xf numFmtId="0" fontId="0" fillId="0" borderId="6" xfId="0" applyBorder="1" applyAlignment="1">
      <alignment/>
    </xf>
    <xf numFmtId="0" fontId="0" fillId="0" borderId="3" xfId="0" applyBorder="1" applyAlignment="1">
      <alignment/>
    </xf>
    <xf numFmtId="0" fontId="0" fillId="0" borderId="10" xfId="0" applyBorder="1" applyAlignment="1">
      <alignment horizontal="center" wrapText="1"/>
    </xf>
    <xf numFmtId="0" fontId="0" fillId="0" borderId="13" xfId="0" applyBorder="1" applyAlignment="1">
      <alignment horizontal="center" wrapText="1"/>
    </xf>
    <xf numFmtId="0" fontId="0" fillId="0" borderId="14" xfId="0" applyBorder="1" applyAlignment="1">
      <alignment/>
    </xf>
    <xf numFmtId="0" fontId="0" fillId="0" borderId="1" xfId="0" applyBorder="1" applyAlignment="1">
      <alignment/>
    </xf>
    <xf numFmtId="0" fontId="0" fillId="0" borderId="3" xfId="0" applyFont="1" applyBorder="1" applyAlignment="1">
      <alignment/>
    </xf>
    <xf numFmtId="0" fontId="0" fillId="0" borderId="8" xfId="0" applyFont="1" applyBorder="1" applyAlignment="1">
      <alignment/>
    </xf>
    <xf numFmtId="0" fontId="0" fillId="0" borderId="9" xfId="0" applyFont="1" applyBorder="1" applyAlignment="1">
      <alignment/>
    </xf>
    <xf numFmtId="0" fontId="7" fillId="0" borderId="3"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 xfId="0" applyFill="1" applyBorder="1" applyAlignment="1">
      <alignment/>
    </xf>
    <xf numFmtId="0" fontId="0" fillId="0" borderId="3" xfId="0" applyFill="1" applyBorder="1" applyAlignment="1" applyProtection="1">
      <alignment vertical="center"/>
      <protection hidden="1"/>
    </xf>
    <xf numFmtId="0" fontId="0" fillId="0" borderId="2" xfId="0" applyBorder="1" applyAlignment="1">
      <alignment horizontal="center"/>
    </xf>
    <xf numFmtId="0" fontId="1" fillId="5" borderId="11" xfId="0" applyFont="1" applyFill="1" applyBorder="1" applyAlignment="1">
      <alignment horizontal="center" vertical="top"/>
    </xf>
    <xf numFmtId="0" fontId="1" fillId="5" borderId="0" xfId="0" applyFont="1" applyFill="1" applyBorder="1" applyAlignment="1">
      <alignment horizontal="center" vertical="top"/>
    </xf>
    <xf numFmtId="0" fontId="0" fillId="0" borderId="0" xfId="0" applyAlignment="1">
      <alignment/>
    </xf>
    <xf numFmtId="0" fontId="0" fillId="0" borderId="0" xfId="0" applyAlignment="1">
      <alignment vertical="top" wrapText="1"/>
    </xf>
    <xf numFmtId="0" fontId="0" fillId="0" borderId="0" xfId="0" applyAlignment="1">
      <alignment vertical="top"/>
    </xf>
    <xf numFmtId="0" fontId="2" fillId="3" borderId="14" xfId="0" applyFont="1" applyFill="1" applyBorder="1" applyAlignment="1">
      <alignment/>
    </xf>
    <xf numFmtId="0" fontId="0" fillId="3" borderId="14" xfId="0" applyFill="1" applyBorder="1" applyAlignment="1">
      <alignment/>
    </xf>
    <xf numFmtId="0" fontId="2" fillId="3" borderId="6" xfId="0" applyFont="1" applyFill="1" applyBorder="1" applyAlignment="1">
      <alignment/>
    </xf>
    <xf numFmtId="0" fontId="2" fillId="3" borderId="7" xfId="0" applyFont="1" applyFill="1" applyBorder="1" applyAlignment="1">
      <alignment/>
    </xf>
    <xf numFmtId="0" fontId="0" fillId="3" borderId="7" xfId="0" applyFill="1" applyBorder="1" applyAlignment="1">
      <alignment/>
    </xf>
    <xf numFmtId="0" fontId="0" fillId="3" borderId="13" xfId="0" applyFill="1" applyBorder="1" applyAlignment="1">
      <alignment/>
    </xf>
    <xf numFmtId="0" fontId="1" fillId="4" borderId="3" xfId="0" applyFont="1" applyFill="1" applyBorder="1" applyAlignment="1">
      <alignment/>
    </xf>
    <xf numFmtId="0" fontId="0" fillId="4" borderId="8" xfId="0" applyFill="1" applyBorder="1" applyAlignment="1">
      <alignment/>
    </xf>
    <xf numFmtId="0" fontId="0" fillId="4" borderId="9" xfId="0"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15</xdr:row>
      <xdr:rowOff>57150</xdr:rowOff>
    </xdr:from>
    <xdr:to>
      <xdr:col>6</xdr:col>
      <xdr:colOff>1419225</xdr:colOff>
      <xdr:row>45</xdr:row>
      <xdr:rowOff>152400</xdr:rowOff>
    </xdr:to>
    <xdr:pic>
      <xdr:nvPicPr>
        <xdr:cNvPr id="1" name="Picture 9"/>
        <xdr:cNvPicPr preferRelativeResize="1">
          <a:picLocks noChangeAspect="1"/>
        </xdr:cNvPicPr>
      </xdr:nvPicPr>
      <xdr:blipFill>
        <a:blip r:embed="rId1"/>
        <a:srcRect r="20565" b="30276"/>
        <a:stretch>
          <a:fillRect/>
        </a:stretch>
      </xdr:blipFill>
      <xdr:spPr>
        <a:xfrm>
          <a:off x="19050" y="2524125"/>
          <a:ext cx="6257925" cy="4953000"/>
        </a:xfrm>
        <a:prstGeom prst="rect">
          <a:avLst/>
        </a:prstGeom>
        <a:noFill/>
        <a:ln w="9525" cmpd="sng">
          <a:noFill/>
        </a:ln>
      </xdr:spPr>
    </xdr:pic>
    <xdr:clientData/>
  </xdr:twoCellAnchor>
  <xdr:twoCellAnchor editAs="oneCell">
    <xdr:from>
      <xdr:col>0</xdr:col>
      <xdr:colOff>0</xdr:colOff>
      <xdr:row>62</xdr:row>
      <xdr:rowOff>19050</xdr:rowOff>
    </xdr:from>
    <xdr:to>
      <xdr:col>6</xdr:col>
      <xdr:colOff>1809750</xdr:colOff>
      <xdr:row>99</xdr:row>
      <xdr:rowOff>9525</xdr:rowOff>
    </xdr:to>
    <xdr:pic>
      <xdr:nvPicPr>
        <xdr:cNvPr id="2" name="Picture 29"/>
        <xdr:cNvPicPr preferRelativeResize="1">
          <a:picLocks noChangeAspect="1"/>
        </xdr:cNvPicPr>
      </xdr:nvPicPr>
      <xdr:blipFill>
        <a:blip r:embed="rId2"/>
        <a:srcRect l="1997" t="9252" r="23971" b="13877"/>
        <a:stretch>
          <a:fillRect/>
        </a:stretch>
      </xdr:blipFill>
      <xdr:spPr>
        <a:xfrm>
          <a:off x="0" y="10096500"/>
          <a:ext cx="6667500" cy="598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1"/>
  <sheetViews>
    <sheetView tabSelected="1" workbookViewId="0" topLeftCell="A1">
      <selection activeCell="C55" sqref="C55"/>
    </sheetView>
  </sheetViews>
  <sheetFormatPr defaultColWidth="11.421875" defaultRowHeight="12.75"/>
  <cols>
    <col min="2" max="2" width="24.8515625" style="0" bestFit="1" customWidth="1"/>
    <col min="4" max="4" width="2.28125" style="0" customWidth="1"/>
    <col min="7" max="7" width="31.7109375" style="0" customWidth="1"/>
    <col min="8" max="33" width="4.7109375" style="0" customWidth="1"/>
    <col min="34" max="57" width="3.7109375" style="0" customWidth="1"/>
  </cols>
  <sheetData>
    <row r="1" spans="1:57" ht="15.75">
      <c r="A1" s="54" t="s">
        <v>0</v>
      </c>
      <c r="B1" s="54"/>
      <c r="C1" s="54"/>
      <c r="D1" s="54"/>
      <c r="E1" s="54"/>
      <c r="H1" s="82" t="s">
        <v>22</v>
      </c>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4"/>
    </row>
    <row r="2" spans="1:27" ht="12.75">
      <c r="A2" s="54"/>
      <c r="B2" s="54"/>
      <c r="C2" s="54"/>
      <c r="D2" s="54"/>
      <c r="E2" s="54"/>
      <c r="H2" s="76" t="s">
        <v>50</v>
      </c>
      <c r="I2" s="77"/>
      <c r="J2" s="77"/>
      <c r="K2" s="77"/>
      <c r="L2" s="77"/>
      <c r="M2" s="13"/>
      <c r="N2" s="13"/>
      <c r="O2" s="13"/>
      <c r="P2" s="13"/>
      <c r="Q2" s="13"/>
      <c r="R2" s="13"/>
      <c r="T2" s="78" t="s">
        <v>34</v>
      </c>
      <c r="U2" s="79"/>
      <c r="V2" s="79"/>
      <c r="W2" s="79"/>
      <c r="X2" s="79"/>
      <c r="Y2" s="80"/>
      <c r="Z2" s="80"/>
      <c r="AA2" s="81"/>
    </row>
    <row r="3" spans="1:27" ht="12.75">
      <c r="A3" s="1" t="s">
        <v>1</v>
      </c>
      <c r="B3" s="1" t="s">
        <v>2</v>
      </c>
      <c r="C3" s="2" t="s">
        <v>26</v>
      </c>
      <c r="D3" s="1"/>
      <c r="E3" s="3">
        <f>I14</f>
        <v>16.5</v>
      </c>
      <c r="H3" s="1"/>
      <c r="I3" s="1" t="s">
        <v>30</v>
      </c>
      <c r="J3" s="1" t="s">
        <v>31</v>
      </c>
      <c r="K3" s="48" t="s">
        <v>60</v>
      </c>
      <c r="L3" s="49"/>
      <c r="M3" s="13"/>
      <c r="N3" s="13"/>
      <c r="O3" s="13"/>
      <c r="P3" s="13"/>
      <c r="Q3" s="13"/>
      <c r="R3" s="13"/>
      <c r="T3" s="55" t="s">
        <v>35</v>
      </c>
      <c r="U3" s="55"/>
      <c r="V3" s="55"/>
      <c r="W3" s="55"/>
      <c r="X3" s="56"/>
      <c r="Y3" s="58" t="s">
        <v>59</v>
      </c>
      <c r="Z3" s="30"/>
      <c r="AA3" s="31"/>
    </row>
    <row r="4" spans="1:27" ht="12.75">
      <c r="A4" s="1" t="s">
        <v>3</v>
      </c>
      <c r="B4" s="1" t="s">
        <v>4</v>
      </c>
      <c r="C4" s="4" t="s">
        <v>35</v>
      </c>
      <c r="D4" s="1"/>
      <c r="E4" s="3"/>
      <c r="H4" s="1" t="s">
        <v>26</v>
      </c>
      <c r="I4" s="6">
        <v>16.5</v>
      </c>
      <c r="J4" s="1">
        <v>48</v>
      </c>
      <c r="K4" s="50"/>
      <c r="L4" s="51"/>
      <c r="M4" s="13"/>
      <c r="N4" s="13"/>
      <c r="O4" s="13"/>
      <c r="P4" s="13"/>
      <c r="Q4" s="13"/>
      <c r="R4" s="13"/>
      <c r="T4" s="37" t="s">
        <v>5</v>
      </c>
      <c r="U4" s="37"/>
      <c r="V4" s="37"/>
      <c r="W4" s="37"/>
      <c r="X4" s="57"/>
      <c r="Y4" s="32"/>
      <c r="Z4" s="33"/>
      <c r="AA4" s="59"/>
    </row>
    <row r="5" spans="1:27" ht="12.75">
      <c r="A5" s="1" t="s">
        <v>6</v>
      </c>
      <c r="B5" s="1" t="s">
        <v>7</v>
      </c>
      <c r="C5" s="4" t="s">
        <v>37</v>
      </c>
      <c r="D5" s="1"/>
      <c r="E5" s="3"/>
      <c r="H5" s="1" t="s">
        <v>28</v>
      </c>
      <c r="I5" s="6">
        <v>45</v>
      </c>
      <c r="J5" s="1">
        <v>130</v>
      </c>
      <c r="K5" s="50"/>
      <c r="L5" s="51"/>
      <c r="M5" s="13"/>
      <c r="N5" s="13"/>
      <c r="O5" s="13"/>
      <c r="P5" s="13"/>
      <c r="Q5" s="13"/>
      <c r="R5" s="13"/>
      <c r="T5" s="1" t="s">
        <v>33</v>
      </c>
      <c r="U5" s="1"/>
      <c r="V5" s="1"/>
      <c r="W5" s="1"/>
      <c r="X5" s="26" t="str">
        <f>C4</f>
        <v>Ja</v>
      </c>
      <c r="Y5" s="62" t="s">
        <v>57</v>
      </c>
      <c r="Z5" s="63"/>
      <c r="AA5" s="64"/>
    </row>
    <row r="6" spans="1:27" ht="12.75">
      <c r="A6" s="5" t="s">
        <v>8</v>
      </c>
      <c r="B6" s="5" t="s">
        <v>10</v>
      </c>
      <c r="C6" s="4">
        <v>230</v>
      </c>
      <c r="D6" s="1"/>
      <c r="E6" s="3" t="str">
        <f>CONCATENATE(I21,J21,K21,L21,M21,N21,O21,P21)</f>
        <v>A</v>
      </c>
      <c r="H6" s="1" t="s">
        <v>29</v>
      </c>
      <c r="I6" s="6">
        <v>64</v>
      </c>
      <c r="J6" s="1">
        <v>184</v>
      </c>
      <c r="K6" s="50"/>
      <c r="L6" s="51"/>
      <c r="M6" s="13"/>
      <c r="N6" s="13"/>
      <c r="O6" s="13"/>
      <c r="P6" s="13"/>
      <c r="Q6" s="13"/>
      <c r="R6" s="13"/>
      <c r="T6" s="25" t="s">
        <v>33</v>
      </c>
      <c r="X6" s="24" t="str">
        <f>C50</f>
        <v>Ja</v>
      </c>
      <c r="Y6" s="57" t="s">
        <v>58</v>
      </c>
      <c r="Z6" s="46"/>
      <c r="AA6" s="47"/>
    </row>
    <row r="7" spans="1:27" ht="12.75">
      <c r="A7" s="5" t="s">
        <v>9</v>
      </c>
      <c r="B7" s="5" t="s">
        <v>47</v>
      </c>
      <c r="C7" s="4">
        <v>450</v>
      </c>
      <c r="D7" s="1"/>
      <c r="E7" s="3">
        <f>IF(C5="gerade","entfällt!",IF(ISERROR(MATCH("x",J54:BE54,0)),SUM(J54:BE54),"Fehler!"))</f>
        <v>6</v>
      </c>
      <c r="H7" s="1" t="s">
        <v>24</v>
      </c>
      <c r="I7" s="6">
        <v>9</v>
      </c>
      <c r="J7" s="1">
        <v>27</v>
      </c>
      <c r="K7" s="50"/>
      <c r="L7" s="51"/>
      <c r="M7" s="13"/>
      <c r="N7" s="13"/>
      <c r="O7" s="13"/>
      <c r="P7" s="13"/>
      <c r="Q7" s="13"/>
      <c r="R7" s="13"/>
      <c r="T7" s="34" t="s">
        <v>39</v>
      </c>
      <c r="U7" s="35"/>
      <c r="V7" s="35"/>
      <c r="W7" s="35"/>
      <c r="X7" s="35"/>
      <c r="Y7" s="35"/>
      <c r="Z7" s="35"/>
      <c r="AA7" s="36"/>
    </row>
    <row r="8" spans="8:27" ht="12.75">
      <c r="H8" s="1" t="s">
        <v>32</v>
      </c>
      <c r="I8" s="6">
        <v>32</v>
      </c>
      <c r="J8" s="1">
        <v>94</v>
      </c>
      <c r="K8" s="50"/>
      <c r="L8" s="51"/>
      <c r="M8" s="13"/>
      <c r="N8" s="13"/>
      <c r="O8" s="13"/>
      <c r="P8" s="13"/>
      <c r="Q8" s="13"/>
      <c r="R8" s="13"/>
      <c r="T8" s="55" t="s">
        <v>36</v>
      </c>
      <c r="U8" s="55"/>
      <c r="V8" s="55"/>
      <c r="W8" s="55"/>
      <c r="X8" s="60"/>
      <c r="Y8" s="58" t="s">
        <v>59</v>
      </c>
      <c r="Z8" s="30"/>
      <c r="AA8" s="31"/>
    </row>
    <row r="9" spans="1:27" ht="12.75">
      <c r="A9" s="1" t="s">
        <v>11</v>
      </c>
      <c r="B9" s="1" t="s">
        <v>12</v>
      </c>
      <c r="C9" s="22">
        <f>IF(X5="Nein",2.2*I14,IF(W10="gerade",2.8*I14,2.3*I14))</f>
        <v>37.949999999999996</v>
      </c>
      <c r="D9" s="1"/>
      <c r="E9" s="3" t="s">
        <v>13</v>
      </c>
      <c r="H9" s="1" t="s">
        <v>27</v>
      </c>
      <c r="I9" s="6">
        <v>22.5</v>
      </c>
      <c r="J9" s="1">
        <v>66</v>
      </c>
      <c r="K9" s="50"/>
      <c r="L9" s="51"/>
      <c r="M9" s="13"/>
      <c r="N9" s="13"/>
      <c r="O9" s="13"/>
      <c r="P9" s="13"/>
      <c r="Q9" s="13"/>
      <c r="R9" s="13"/>
      <c r="T9" s="37" t="s">
        <v>37</v>
      </c>
      <c r="U9" s="37"/>
      <c r="V9" s="37"/>
      <c r="W9" s="37"/>
      <c r="X9" s="61"/>
      <c r="Y9" s="32"/>
      <c r="Z9" s="33"/>
      <c r="AA9" s="59"/>
    </row>
    <row r="10" spans="1:27" ht="12.75">
      <c r="A10" s="1" t="s">
        <v>14</v>
      </c>
      <c r="B10" s="1" t="s">
        <v>15</v>
      </c>
      <c r="C10" s="22">
        <f>1.4*J14</f>
        <v>67.19999999999999</v>
      </c>
      <c r="D10" s="1"/>
      <c r="E10" s="3" t="s">
        <v>13</v>
      </c>
      <c r="H10" s="1" t="s">
        <v>25</v>
      </c>
      <c r="I10" s="6">
        <v>12</v>
      </c>
      <c r="J10" s="1">
        <v>36</v>
      </c>
      <c r="K10" s="50"/>
      <c r="L10" s="51"/>
      <c r="M10" s="13"/>
      <c r="N10" s="13"/>
      <c r="O10" s="13"/>
      <c r="P10" s="13"/>
      <c r="Q10" s="13"/>
      <c r="R10" s="13"/>
      <c r="T10" s="1" t="s">
        <v>38</v>
      </c>
      <c r="U10" s="1"/>
      <c r="V10" s="1"/>
      <c r="W10" s="44" t="str">
        <f>C5</f>
        <v>Bogen</v>
      </c>
      <c r="X10" s="44"/>
      <c r="Y10" s="62" t="s">
        <v>57</v>
      </c>
      <c r="Z10" s="63"/>
      <c r="AA10" s="64"/>
    </row>
    <row r="11" spans="1:27" ht="12.75">
      <c r="A11" s="1" t="s">
        <v>16</v>
      </c>
      <c r="B11" s="1" t="s">
        <v>17</v>
      </c>
      <c r="C11" s="22">
        <f>1.3*E3</f>
        <v>21.45</v>
      </c>
      <c r="D11" s="1"/>
      <c r="E11" s="3" t="s">
        <v>13</v>
      </c>
      <c r="H11" s="1" t="s">
        <v>23</v>
      </c>
      <c r="I11" s="6">
        <v>6.5</v>
      </c>
      <c r="J11" s="1">
        <v>20</v>
      </c>
      <c r="K11" s="50"/>
      <c r="L11" s="51"/>
      <c r="M11" s="13"/>
      <c r="N11" s="13"/>
      <c r="O11" s="13"/>
      <c r="P11" s="13"/>
      <c r="Q11" s="13"/>
      <c r="R11" s="13"/>
      <c r="T11" s="1" t="s">
        <v>38</v>
      </c>
      <c r="U11" s="1"/>
      <c r="V11" s="1"/>
      <c r="W11" s="44" t="str">
        <f>C51</f>
        <v>Bogen</v>
      </c>
      <c r="X11" s="44"/>
      <c r="Y11" s="57" t="s">
        <v>58</v>
      </c>
      <c r="Z11" s="46"/>
      <c r="AA11" s="47"/>
    </row>
    <row r="12" spans="1:18" ht="12.75">
      <c r="A12" s="1" t="s">
        <v>18</v>
      </c>
      <c r="B12" s="1" t="s">
        <v>19</v>
      </c>
      <c r="C12" s="22">
        <f>IF(C5="gerade",2*J14,IF(E7="Fehler!","Fehler!",2*J14+E7))</f>
        <v>102</v>
      </c>
      <c r="D12" s="1"/>
      <c r="E12" s="3" t="s">
        <v>13</v>
      </c>
      <c r="H12" s="9"/>
      <c r="I12" s="9"/>
      <c r="J12" s="9"/>
      <c r="K12" s="52"/>
      <c r="L12" s="53"/>
      <c r="M12" s="13"/>
      <c r="N12" s="13"/>
      <c r="O12" s="13"/>
      <c r="P12" s="13"/>
      <c r="Q12" s="13"/>
      <c r="R12" s="13"/>
    </row>
    <row r="13" spans="1:18" ht="12.75">
      <c r="A13" s="1" t="s">
        <v>20</v>
      </c>
      <c r="B13" s="1" t="s">
        <v>21</v>
      </c>
      <c r="C13" s="22">
        <f>IF(AND(E7="Fehler!",C5="Bogen"),"Fehler!",C12-SQRT(C10^2+(C9-C11)^2))</f>
        <v>32.803974102554136</v>
      </c>
      <c r="D13" s="1"/>
      <c r="E13" s="3" t="s">
        <v>13</v>
      </c>
      <c r="F13" s="23"/>
      <c r="G13" s="11"/>
      <c r="H13" s="1" t="s">
        <v>33</v>
      </c>
      <c r="I13" s="1"/>
      <c r="J13" s="1"/>
      <c r="K13" s="1"/>
      <c r="L13" s="1"/>
      <c r="M13" s="13"/>
      <c r="N13" s="13"/>
      <c r="O13" s="13"/>
      <c r="P13" s="13"/>
      <c r="Q13" s="13"/>
      <c r="R13" s="13"/>
    </row>
    <row r="14" spans="8:18" ht="12.75">
      <c r="H14" s="7" t="str">
        <f>C3</f>
        <v>H0</v>
      </c>
      <c r="I14" s="8">
        <f>VLOOKUP(H14,H4:J11,2,FALSE)</f>
        <v>16.5</v>
      </c>
      <c r="J14" s="8">
        <f>VLOOKUP(H14,H4:J11,3,FALSE)</f>
        <v>48</v>
      </c>
      <c r="K14" s="41" t="s">
        <v>57</v>
      </c>
      <c r="L14" s="42"/>
      <c r="M14" s="13"/>
      <c r="N14" s="13"/>
      <c r="O14" s="13"/>
      <c r="P14" s="13"/>
      <c r="Q14" s="13"/>
      <c r="R14" s="13"/>
    </row>
    <row r="15" spans="1:18" ht="12.75">
      <c r="A15" s="65">
        <f>IF(AND(E7="Fehler!",C5="Bogen"),"Fehlermeldung - Radius zu klein oder Wagenkasten zu lang!","")</f>
      </c>
      <c r="B15" s="66"/>
      <c r="C15" s="66"/>
      <c r="D15" s="66"/>
      <c r="E15" s="67"/>
      <c r="H15" s="28" t="str">
        <f>C49</f>
        <v>N</v>
      </c>
      <c r="I15" s="29">
        <f>VLOOKUP(H15,H4:J11,2,FALSE)</f>
        <v>9</v>
      </c>
      <c r="J15" s="29">
        <f>VLOOKUP(H15,H4:J11,3,FALSE)</f>
        <v>27</v>
      </c>
      <c r="K15" s="70" t="s">
        <v>58</v>
      </c>
      <c r="L15" s="70"/>
      <c r="M15" s="13"/>
      <c r="N15" s="13"/>
      <c r="O15" s="13"/>
      <c r="P15" s="13"/>
      <c r="Q15" s="13"/>
      <c r="R15" s="13"/>
    </row>
    <row r="16" spans="8:19" ht="12.75">
      <c r="H16" s="45" t="s">
        <v>49</v>
      </c>
      <c r="I16" s="35"/>
      <c r="J16" s="35"/>
      <c r="K16" s="35"/>
      <c r="L16" s="35"/>
      <c r="M16" s="35"/>
      <c r="N16" s="35"/>
      <c r="O16" s="35"/>
      <c r="P16" s="35"/>
      <c r="Q16" s="35"/>
      <c r="R16" s="46"/>
      <c r="S16" s="47"/>
    </row>
    <row r="17" spans="2:19" ht="12.75">
      <c r="B17" s="23"/>
      <c r="H17" s="14"/>
      <c r="I17" s="16" t="s">
        <v>26</v>
      </c>
      <c r="J17" s="16" t="s">
        <v>28</v>
      </c>
      <c r="K17" s="16" t="s">
        <v>29</v>
      </c>
      <c r="L17" s="16" t="s">
        <v>24</v>
      </c>
      <c r="M17" s="16" t="s">
        <v>32</v>
      </c>
      <c r="N17" s="17" t="s">
        <v>27</v>
      </c>
      <c r="O17" s="17" t="s">
        <v>25</v>
      </c>
      <c r="P17" s="17" t="s">
        <v>23</v>
      </c>
      <c r="Q17" s="1"/>
      <c r="R17" s="48" t="s">
        <v>60</v>
      </c>
      <c r="S17" s="49"/>
    </row>
    <row r="18" spans="2:19" ht="12.75">
      <c r="B18" s="23"/>
      <c r="H18" s="14" t="s">
        <v>40</v>
      </c>
      <c r="I18" s="15">
        <v>230</v>
      </c>
      <c r="J18" s="15">
        <v>625</v>
      </c>
      <c r="K18" s="3">
        <v>889</v>
      </c>
      <c r="L18" s="3">
        <v>125</v>
      </c>
      <c r="M18" s="3">
        <v>460</v>
      </c>
      <c r="N18" s="3">
        <v>313</v>
      </c>
      <c r="O18" s="3">
        <v>167</v>
      </c>
      <c r="P18" s="3">
        <v>91</v>
      </c>
      <c r="Q18" s="14" t="s">
        <v>40</v>
      </c>
      <c r="R18" s="50"/>
      <c r="S18" s="51"/>
    </row>
    <row r="19" spans="8:19" ht="12.75">
      <c r="H19" s="14" t="s">
        <v>41</v>
      </c>
      <c r="I19" s="15">
        <v>278</v>
      </c>
      <c r="J19" s="15">
        <v>756</v>
      </c>
      <c r="K19" s="3">
        <v>1076</v>
      </c>
      <c r="L19" s="3">
        <v>151</v>
      </c>
      <c r="M19" s="3">
        <v>556</v>
      </c>
      <c r="N19" s="3">
        <v>378</v>
      </c>
      <c r="O19" s="3">
        <v>202</v>
      </c>
      <c r="P19" s="3">
        <v>110</v>
      </c>
      <c r="Q19" s="14" t="s">
        <v>41</v>
      </c>
      <c r="R19" s="50"/>
      <c r="S19" s="51"/>
    </row>
    <row r="20" spans="8:19" ht="12.75">
      <c r="H20" s="14" t="s">
        <v>42</v>
      </c>
      <c r="I20" s="15">
        <v>313</v>
      </c>
      <c r="J20" s="15">
        <v>850</v>
      </c>
      <c r="K20" s="3">
        <v>1209</v>
      </c>
      <c r="L20" s="3">
        <v>170</v>
      </c>
      <c r="M20" s="3">
        <v>625</v>
      </c>
      <c r="N20" s="3">
        <v>425</v>
      </c>
      <c r="O20" s="3">
        <v>227</v>
      </c>
      <c r="P20" s="3">
        <v>124</v>
      </c>
      <c r="Q20" s="14" t="s">
        <v>42</v>
      </c>
      <c r="R20" s="52"/>
      <c r="S20" s="53"/>
    </row>
    <row r="21" spans="8:19" ht="12.75">
      <c r="H21" s="27"/>
      <c r="I21" s="15" t="str">
        <f>IF(C3="H0",VLOOKUP(C6,I18:Q20,9),"")</f>
        <v>A</v>
      </c>
      <c r="J21" s="15">
        <f>IF(C3="I",VLOOKUP(C6,J18:Q20,8),"")</f>
      </c>
      <c r="K21" s="15">
        <f>IF(C3="II",VLOOKUP(C6,K18:Q20,7),"")</f>
      </c>
      <c r="L21" s="15">
        <f>IF(C3="N",VLOOKUP(C6,L18:Q20,6),"")</f>
      </c>
      <c r="M21" s="15">
        <f>IF(C3="O",VLOOKUP(C6,M18:Q20,5),"")</f>
      </c>
      <c r="N21" s="15">
        <f>IF(C3="S",VLOOKUP(C6,N18:Q20,4),"")</f>
      </c>
      <c r="O21" s="15">
        <f>IF(C3="TT",VLOOKUP(C6,O18:Q20,3),"")</f>
      </c>
      <c r="P21" s="15">
        <f>IF(C3="Z",VLOOKUP(C6,P18:Q20,2),"")</f>
      </c>
      <c r="Q21" s="15"/>
      <c r="R21" s="41" t="s">
        <v>57</v>
      </c>
      <c r="S21" s="42"/>
    </row>
    <row r="22" spans="8:19" ht="12.75">
      <c r="H22" s="27"/>
      <c r="I22" s="15">
        <f>IF(C49="H0",VLOOKUP(C53,I18:Q20,9),"")</f>
      </c>
      <c r="J22" s="15">
        <f>IF(C49="I",VLOOKUP(C53,J18:Q20,8),"")</f>
      </c>
      <c r="K22" s="15">
        <f>IF(C49="II",VLOOKUP(C53,K18:Q20,7),"")</f>
      </c>
      <c r="L22" s="15" t="str">
        <f>IF(C49="N",VLOOKUP(C53,L18:Q20,6),"")</f>
        <v>A</v>
      </c>
      <c r="M22" s="15">
        <f>IF(C49="O",VLOOKUP(C53,M18:Q20,5),"")</f>
      </c>
      <c r="N22" s="15">
        <f>IF(C49="S",VLOOKUP(C53,N18:Q20,4),"")</f>
      </c>
      <c r="O22" s="15">
        <f>IF(C49="TT",VLOOKUP(C53,O18:Q20,3),"")</f>
      </c>
      <c r="P22" s="15">
        <f>IF(C49="Z",VLOOKUP(C53,P18:Q20,2),"")</f>
      </c>
      <c r="Q22" s="15"/>
      <c r="R22" s="41" t="s">
        <v>58</v>
      </c>
      <c r="S22" s="42"/>
    </row>
    <row r="24" spans="8:57" ht="12.75">
      <c r="H24" s="34" t="s">
        <v>48</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6"/>
    </row>
    <row r="25" spans="8:57" ht="12.75">
      <c r="H25" s="43" t="s">
        <v>44</v>
      </c>
      <c r="I25" s="44"/>
      <c r="J25" s="40" t="s">
        <v>26</v>
      </c>
      <c r="K25" s="40"/>
      <c r="L25" s="40"/>
      <c r="M25" s="40"/>
      <c r="N25" s="40"/>
      <c r="O25" s="40"/>
      <c r="P25" s="40" t="s">
        <v>28</v>
      </c>
      <c r="Q25" s="40"/>
      <c r="R25" s="40"/>
      <c r="S25" s="40"/>
      <c r="T25" s="40"/>
      <c r="U25" s="40"/>
      <c r="V25" s="40" t="s">
        <v>29</v>
      </c>
      <c r="W25" s="40"/>
      <c r="X25" s="40"/>
      <c r="Y25" s="37"/>
      <c r="Z25" s="37"/>
      <c r="AA25" s="37"/>
      <c r="AB25" s="38" t="s">
        <v>24</v>
      </c>
      <c r="AC25" s="38"/>
      <c r="AD25" s="38"/>
      <c r="AE25" s="37"/>
      <c r="AF25" s="37"/>
      <c r="AG25" s="37"/>
      <c r="AH25" s="38" t="s">
        <v>32</v>
      </c>
      <c r="AI25" s="38"/>
      <c r="AJ25" s="38"/>
      <c r="AK25" s="37"/>
      <c r="AL25" s="37"/>
      <c r="AM25" s="37"/>
      <c r="AN25" s="38" t="s">
        <v>27</v>
      </c>
      <c r="AO25" s="38"/>
      <c r="AP25" s="38"/>
      <c r="AQ25" s="37"/>
      <c r="AR25" s="37"/>
      <c r="AS25" s="37"/>
      <c r="AT25" s="38" t="s">
        <v>25</v>
      </c>
      <c r="AU25" s="38"/>
      <c r="AV25" s="38"/>
      <c r="AW25" s="37"/>
      <c r="AX25" s="37"/>
      <c r="AY25" s="37"/>
      <c r="AZ25" s="38" t="s">
        <v>23</v>
      </c>
      <c r="BA25" s="37"/>
      <c r="BB25" s="37"/>
      <c r="BC25" s="37"/>
      <c r="BD25" s="37"/>
      <c r="BE25" s="37"/>
    </row>
    <row r="26" spans="8:57" ht="12.75" customHeight="1">
      <c r="H26" s="44"/>
      <c r="I26" s="44"/>
      <c r="J26" s="37" t="s">
        <v>45</v>
      </c>
      <c r="K26" s="37"/>
      <c r="L26" s="37"/>
      <c r="M26" s="37" t="s">
        <v>46</v>
      </c>
      <c r="N26" s="37"/>
      <c r="O26" s="37"/>
      <c r="P26" s="37" t="s">
        <v>45</v>
      </c>
      <c r="Q26" s="37"/>
      <c r="R26" s="37"/>
      <c r="S26" s="37" t="s">
        <v>46</v>
      </c>
      <c r="T26" s="37"/>
      <c r="U26" s="37"/>
      <c r="V26" s="37" t="s">
        <v>45</v>
      </c>
      <c r="W26" s="37"/>
      <c r="X26" s="37"/>
      <c r="Y26" s="37" t="s">
        <v>46</v>
      </c>
      <c r="Z26" s="37"/>
      <c r="AA26" s="37"/>
      <c r="AB26" s="37" t="s">
        <v>45</v>
      </c>
      <c r="AC26" s="37"/>
      <c r="AD26" s="37"/>
      <c r="AE26" s="37" t="s">
        <v>46</v>
      </c>
      <c r="AF26" s="37"/>
      <c r="AG26" s="37"/>
      <c r="AH26" s="37" t="s">
        <v>45</v>
      </c>
      <c r="AI26" s="37"/>
      <c r="AJ26" s="37"/>
      <c r="AK26" s="37" t="s">
        <v>46</v>
      </c>
      <c r="AL26" s="37"/>
      <c r="AM26" s="37"/>
      <c r="AN26" s="37" t="s">
        <v>45</v>
      </c>
      <c r="AO26" s="37"/>
      <c r="AP26" s="37"/>
      <c r="AQ26" s="37" t="s">
        <v>46</v>
      </c>
      <c r="AR26" s="37"/>
      <c r="AS26" s="37"/>
      <c r="AT26" s="37" t="s">
        <v>45</v>
      </c>
      <c r="AU26" s="37"/>
      <c r="AV26" s="37"/>
      <c r="AW26" s="37" t="s">
        <v>46</v>
      </c>
      <c r="AX26" s="37"/>
      <c r="AY26" s="37"/>
      <c r="AZ26" s="37" t="s">
        <v>45</v>
      </c>
      <c r="BA26" s="37"/>
      <c r="BB26" s="37"/>
      <c r="BC26" s="37" t="s">
        <v>46</v>
      </c>
      <c r="BD26" s="37"/>
      <c r="BE26" s="37"/>
    </row>
    <row r="27" spans="7:57" ht="12.75">
      <c r="G27" s="12"/>
      <c r="H27" s="44"/>
      <c r="I27" s="44"/>
      <c r="J27" s="18" t="s">
        <v>40</v>
      </c>
      <c r="K27" s="18" t="s">
        <v>41</v>
      </c>
      <c r="L27" s="18" t="s">
        <v>42</v>
      </c>
      <c r="M27" s="18" t="s">
        <v>40</v>
      </c>
      <c r="N27" s="18" t="s">
        <v>41</v>
      </c>
      <c r="O27" s="18" t="s">
        <v>42</v>
      </c>
      <c r="P27" s="18" t="s">
        <v>40</v>
      </c>
      <c r="Q27" s="18" t="s">
        <v>41</v>
      </c>
      <c r="R27" s="18" t="s">
        <v>42</v>
      </c>
      <c r="S27" s="18" t="s">
        <v>40</v>
      </c>
      <c r="T27" s="18" t="s">
        <v>41</v>
      </c>
      <c r="U27" s="18" t="s">
        <v>42</v>
      </c>
      <c r="V27" s="18" t="s">
        <v>40</v>
      </c>
      <c r="W27" s="18" t="s">
        <v>41</v>
      </c>
      <c r="X27" s="18" t="s">
        <v>42</v>
      </c>
      <c r="Y27" s="18" t="s">
        <v>40</v>
      </c>
      <c r="Z27" s="18" t="s">
        <v>41</v>
      </c>
      <c r="AA27" s="18" t="s">
        <v>42</v>
      </c>
      <c r="AB27" s="18" t="s">
        <v>40</v>
      </c>
      <c r="AC27" s="18" t="s">
        <v>41</v>
      </c>
      <c r="AD27" s="18" t="s">
        <v>42</v>
      </c>
      <c r="AE27" s="18" t="s">
        <v>40</v>
      </c>
      <c r="AF27" s="18" t="s">
        <v>41</v>
      </c>
      <c r="AG27" s="18" t="s">
        <v>42</v>
      </c>
      <c r="AH27" s="18" t="s">
        <v>40</v>
      </c>
      <c r="AI27" s="18" t="s">
        <v>41</v>
      </c>
      <c r="AJ27" s="18" t="s">
        <v>42</v>
      </c>
      <c r="AK27" s="18" t="s">
        <v>40</v>
      </c>
      <c r="AL27" s="18" t="s">
        <v>41</v>
      </c>
      <c r="AM27" s="18" t="s">
        <v>42</v>
      </c>
      <c r="AN27" s="18" t="s">
        <v>40</v>
      </c>
      <c r="AO27" s="18" t="s">
        <v>41</v>
      </c>
      <c r="AP27" s="18" t="s">
        <v>42</v>
      </c>
      <c r="AQ27" s="18" t="s">
        <v>40</v>
      </c>
      <c r="AR27" s="18" t="s">
        <v>41</v>
      </c>
      <c r="AS27" s="18" t="s">
        <v>42</v>
      </c>
      <c r="AT27" s="18" t="s">
        <v>40</v>
      </c>
      <c r="AU27" s="18" t="s">
        <v>41</v>
      </c>
      <c r="AV27" s="18" t="s">
        <v>42</v>
      </c>
      <c r="AW27" s="18" t="s">
        <v>40</v>
      </c>
      <c r="AX27" s="18" t="s">
        <v>41</v>
      </c>
      <c r="AY27" s="18" t="s">
        <v>42</v>
      </c>
      <c r="AZ27" s="18" t="s">
        <v>40</v>
      </c>
      <c r="BA27" s="18" t="s">
        <v>41</v>
      </c>
      <c r="BB27" s="18" t="s">
        <v>42</v>
      </c>
      <c r="BC27" s="18" t="s">
        <v>40</v>
      </c>
      <c r="BD27" s="18" t="s">
        <v>41</v>
      </c>
      <c r="BE27" s="18" t="s">
        <v>42</v>
      </c>
    </row>
    <row r="28" spans="7:57" ht="12.75">
      <c r="G28" s="12"/>
      <c r="H28" s="39">
        <v>175</v>
      </c>
      <c r="I28" s="39"/>
      <c r="J28" s="10" t="s">
        <v>43</v>
      </c>
      <c r="K28" s="10" t="s">
        <v>43</v>
      </c>
      <c r="L28" s="10" t="s">
        <v>43</v>
      </c>
      <c r="M28" s="10" t="s">
        <v>43</v>
      </c>
      <c r="N28" s="10" t="s">
        <v>43</v>
      </c>
      <c r="O28" s="10" t="s">
        <v>43</v>
      </c>
      <c r="P28" s="10" t="s">
        <v>43</v>
      </c>
      <c r="Q28" s="10" t="s">
        <v>43</v>
      </c>
      <c r="R28" s="10" t="s">
        <v>43</v>
      </c>
      <c r="S28" s="10" t="s">
        <v>43</v>
      </c>
      <c r="T28" s="10" t="s">
        <v>43</v>
      </c>
      <c r="U28" s="10" t="s">
        <v>43</v>
      </c>
      <c r="V28" s="10" t="s">
        <v>43</v>
      </c>
      <c r="W28" s="10" t="s">
        <v>43</v>
      </c>
      <c r="X28" s="10" t="s">
        <v>43</v>
      </c>
      <c r="Y28" s="10" t="s">
        <v>43</v>
      </c>
      <c r="Z28" s="10" t="s">
        <v>43</v>
      </c>
      <c r="AA28" s="10" t="s">
        <v>43</v>
      </c>
      <c r="AB28" s="19">
        <v>4</v>
      </c>
      <c r="AC28" s="10" t="s">
        <v>43</v>
      </c>
      <c r="AD28" s="10" t="s">
        <v>43</v>
      </c>
      <c r="AE28" s="20">
        <v>31</v>
      </c>
      <c r="AF28" s="10" t="s">
        <v>43</v>
      </c>
      <c r="AG28" s="10" t="s">
        <v>43</v>
      </c>
      <c r="AH28" s="10" t="s">
        <v>43</v>
      </c>
      <c r="AI28" s="10" t="s">
        <v>43</v>
      </c>
      <c r="AJ28" s="10" t="s">
        <v>43</v>
      </c>
      <c r="AK28" s="10" t="s">
        <v>43</v>
      </c>
      <c r="AL28" s="10" t="s">
        <v>43</v>
      </c>
      <c r="AM28" s="10" t="s">
        <v>43</v>
      </c>
      <c r="AN28" s="10" t="s">
        <v>43</v>
      </c>
      <c r="AO28" s="10" t="s">
        <v>43</v>
      </c>
      <c r="AP28" s="10" t="s">
        <v>43</v>
      </c>
      <c r="AQ28" s="10" t="s">
        <v>43</v>
      </c>
      <c r="AR28" s="10" t="s">
        <v>43</v>
      </c>
      <c r="AS28" s="10" t="s">
        <v>43</v>
      </c>
      <c r="AT28" s="10" t="s">
        <v>43</v>
      </c>
      <c r="AU28" s="10" t="s">
        <v>43</v>
      </c>
      <c r="AV28" s="10" t="s">
        <v>43</v>
      </c>
      <c r="AW28" s="10" t="s">
        <v>43</v>
      </c>
      <c r="AX28" s="10" t="s">
        <v>43</v>
      </c>
      <c r="AY28" s="10" t="s">
        <v>43</v>
      </c>
      <c r="AZ28" s="19">
        <v>2</v>
      </c>
      <c r="BA28" s="19">
        <v>3</v>
      </c>
      <c r="BB28" s="19">
        <v>5</v>
      </c>
      <c r="BC28" s="20">
        <v>21</v>
      </c>
      <c r="BD28" s="20">
        <v>23</v>
      </c>
      <c r="BE28" s="20">
        <v>25</v>
      </c>
    </row>
    <row r="29" spans="7:57" ht="12.75">
      <c r="G29" s="12"/>
      <c r="H29" s="39">
        <v>200</v>
      </c>
      <c r="I29" s="39"/>
      <c r="J29" s="10" t="s">
        <v>43</v>
      </c>
      <c r="K29" s="10" t="s">
        <v>43</v>
      </c>
      <c r="L29" s="10" t="s">
        <v>43</v>
      </c>
      <c r="M29" s="10" t="s">
        <v>43</v>
      </c>
      <c r="N29" s="10" t="s">
        <v>43</v>
      </c>
      <c r="O29" s="10" t="s">
        <v>43</v>
      </c>
      <c r="P29" s="10" t="s">
        <v>43</v>
      </c>
      <c r="Q29" s="10" t="s">
        <v>43</v>
      </c>
      <c r="R29" s="10" t="s">
        <v>43</v>
      </c>
      <c r="S29" s="10" t="s">
        <v>43</v>
      </c>
      <c r="T29" s="10" t="s">
        <v>43</v>
      </c>
      <c r="U29" s="10" t="s">
        <v>43</v>
      </c>
      <c r="V29" s="10" t="s">
        <v>43</v>
      </c>
      <c r="W29" s="10" t="s">
        <v>43</v>
      </c>
      <c r="X29" s="10" t="s">
        <v>43</v>
      </c>
      <c r="Y29" s="10" t="s">
        <v>43</v>
      </c>
      <c r="Z29" s="10" t="s">
        <v>43</v>
      </c>
      <c r="AA29" s="10" t="s">
        <v>43</v>
      </c>
      <c r="AB29" s="19">
        <v>4</v>
      </c>
      <c r="AC29" s="19">
        <v>6</v>
      </c>
      <c r="AD29" s="10" t="s">
        <v>43</v>
      </c>
      <c r="AE29" s="20">
        <v>30</v>
      </c>
      <c r="AF29" s="20">
        <v>33</v>
      </c>
      <c r="AG29" s="10" t="s">
        <v>43</v>
      </c>
      <c r="AH29" s="10" t="s">
        <v>43</v>
      </c>
      <c r="AI29" s="10" t="s">
        <v>43</v>
      </c>
      <c r="AJ29" s="10" t="s">
        <v>43</v>
      </c>
      <c r="AK29" s="10" t="s">
        <v>43</v>
      </c>
      <c r="AL29" s="10" t="s">
        <v>43</v>
      </c>
      <c r="AM29" s="10" t="s">
        <v>43</v>
      </c>
      <c r="AN29" s="10" t="s">
        <v>43</v>
      </c>
      <c r="AO29" s="10" t="s">
        <v>43</v>
      </c>
      <c r="AP29" s="10" t="s">
        <v>43</v>
      </c>
      <c r="AQ29" s="10" t="s">
        <v>43</v>
      </c>
      <c r="AR29" s="10" t="s">
        <v>43</v>
      </c>
      <c r="AS29" s="10" t="s">
        <v>43</v>
      </c>
      <c r="AT29" s="10" t="s">
        <v>43</v>
      </c>
      <c r="AU29" s="10" t="s">
        <v>43</v>
      </c>
      <c r="AV29" s="10" t="s">
        <v>43</v>
      </c>
      <c r="AW29" s="10" t="s">
        <v>43</v>
      </c>
      <c r="AX29" s="10" t="s">
        <v>43</v>
      </c>
      <c r="AY29" s="10" t="s">
        <v>43</v>
      </c>
      <c r="AZ29" s="19">
        <v>2</v>
      </c>
      <c r="BA29" s="19">
        <v>3</v>
      </c>
      <c r="BB29" s="19">
        <v>4</v>
      </c>
      <c r="BC29" s="20">
        <v>20</v>
      </c>
      <c r="BD29" s="20">
        <v>22</v>
      </c>
      <c r="BE29" s="20">
        <v>24</v>
      </c>
    </row>
    <row r="30" spans="7:57" ht="12.75">
      <c r="G30" s="12"/>
      <c r="H30" s="39">
        <v>225</v>
      </c>
      <c r="I30" s="39"/>
      <c r="J30" s="10" t="s">
        <v>43</v>
      </c>
      <c r="K30" s="10" t="s">
        <v>43</v>
      </c>
      <c r="L30" s="10" t="s">
        <v>43</v>
      </c>
      <c r="M30" s="10" t="s">
        <v>43</v>
      </c>
      <c r="N30" s="10" t="s">
        <v>43</v>
      </c>
      <c r="O30" s="10" t="s">
        <v>43</v>
      </c>
      <c r="P30" s="10" t="s">
        <v>43</v>
      </c>
      <c r="Q30" s="10" t="s">
        <v>43</v>
      </c>
      <c r="R30" s="10" t="s">
        <v>43</v>
      </c>
      <c r="S30" s="10" t="s">
        <v>43</v>
      </c>
      <c r="T30" s="10" t="s">
        <v>43</v>
      </c>
      <c r="U30" s="10" t="s">
        <v>43</v>
      </c>
      <c r="V30" s="10" t="s">
        <v>43</v>
      </c>
      <c r="W30" s="10" t="s">
        <v>43</v>
      </c>
      <c r="X30" s="10" t="s">
        <v>43</v>
      </c>
      <c r="Y30" s="10" t="s">
        <v>43</v>
      </c>
      <c r="Z30" s="10" t="s">
        <v>43</v>
      </c>
      <c r="AA30" s="10" t="s">
        <v>43</v>
      </c>
      <c r="AB30" s="19">
        <v>3</v>
      </c>
      <c r="AC30" s="19">
        <v>5</v>
      </c>
      <c r="AD30" s="19">
        <v>7</v>
      </c>
      <c r="AE30" s="20">
        <v>29</v>
      </c>
      <c r="AF30" s="20">
        <v>32</v>
      </c>
      <c r="AG30" s="20">
        <v>35</v>
      </c>
      <c r="AH30" s="10" t="s">
        <v>43</v>
      </c>
      <c r="AI30" s="10" t="s">
        <v>43</v>
      </c>
      <c r="AJ30" s="10" t="s">
        <v>43</v>
      </c>
      <c r="AK30" s="10" t="s">
        <v>43</v>
      </c>
      <c r="AL30" s="10" t="s">
        <v>43</v>
      </c>
      <c r="AM30" s="10" t="s">
        <v>43</v>
      </c>
      <c r="AN30" s="10" t="s">
        <v>43</v>
      </c>
      <c r="AO30" s="10" t="s">
        <v>43</v>
      </c>
      <c r="AP30" s="10" t="s">
        <v>43</v>
      </c>
      <c r="AQ30" s="10" t="s">
        <v>43</v>
      </c>
      <c r="AR30" s="10" t="s">
        <v>43</v>
      </c>
      <c r="AS30" s="10" t="s">
        <v>43</v>
      </c>
      <c r="AT30" s="10" t="s">
        <v>43</v>
      </c>
      <c r="AU30" s="10" t="s">
        <v>43</v>
      </c>
      <c r="AV30" s="10" t="s">
        <v>43</v>
      </c>
      <c r="AW30" s="10" t="s">
        <v>43</v>
      </c>
      <c r="AX30" s="10" t="s">
        <v>43</v>
      </c>
      <c r="AY30" s="10" t="s">
        <v>43</v>
      </c>
      <c r="AZ30" s="19">
        <v>2</v>
      </c>
      <c r="BA30" s="19">
        <v>2</v>
      </c>
      <c r="BB30" s="19">
        <v>4</v>
      </c>
      <c r="BC30" s="20">
        <v>19</v>
      </c>
      <c r="BD30" s="20">
        <v>21</v>
      </c>
      <c r="BE30" s="20">
        <v>23</v>
      </c>
    </row>
    <row r="31" spans="7:57" ht="12.75">
      <c r="G31" s="12"/>
      <c r="H31" s="39">
        <v>250</v>
      </c>
      <c r="I31" s="39"/>
      <c r="J31" s="10" t="s">
        <v>43</v>
      </c>
      <c r="K31" s="10" t="s">
        <v>43</v>
      </c>
      <c r="L31" s="10" t="s">
        <v>43</v>
      </c>
      <c r="M31" s="10" t="s">
        <v>43</v>
      </c>
      <c r="N31" s="10" t="s">
        <v>43</v>
      </c>
      <c r="O31" s="10" t="s">
        <v>43</v>
      </c>
      <c r="P31" s="10" t="s">
        <v>43</v>
      </c>
      <c r="Q31" s="10" t="s">
        <v>43</v>
      </c>
      <c r="R31" s="10" t="s">
        <v>43</v>
      </c>
      <c r="S31" s="10" t="s">
        <v>43</v>
      </c>
      <c r="T31" s="10" t="s">
        <v>43</v>
      </c>
      <c r="U31" s="10" t="s">
        <v>43</v>
      </c>
      <c r="V31" s="10" t="s">
        <v>43</v>
      </c>
      <c r="W31" s="10" t="s">
        <v>43</v>
      </c>
      <c r="X31" s="10" t="s">
        <v>43</v>
      </c>
      <c r="Y31" s="10" t="s">
        <v>43</v>
      </c>
      <c r="Z31" s="10" t="s">
        <v>43</v>
      </c>
      <c r="AA31" s="10" t="s">
        <v>43</v>
      </c>
      <c r="AB31" s="19">
        <v>3</v>
      </c>
      <c r="AC31" s="19">
        <v>5</v>
      </c>
      <c r="AD31" s="19">
        <v>6</v>
      </c>
      <c r="AE31" s="20">
        <v>28</v>
      </c>
      <c r="AF31" s="20">
        <v>31</v>
      </c>
      <c r="AG31" s="20">
        <v>33</v>
      </c>
      <c r="AH31" s="10" t="s">
        <v>43</v>
      </c>
      <c r="AI31" s="10" t="s">
        <v>43</v>
      </c>
      <c r="AJ31" s="10" t="s">
        <v>43</v>
      </c>
      <c r="AK31" s="10" t="s">
        <v>43</v>
      </c>
      <c r="AL31" s="10" t="s">
        <v>43</v>
      </c>
      <c r="AM31" s="10" t="s">
        <v>43</v>
      </c>
      <c r="AN31" s="10" t="s">
        <v>43</v>
      </c>
      <c r="AO31" s="10" t="s">
        <v>43</v>
      </c>
      <c r="AP31" s="10" t="s">
        <v>43</v>
      </c>
      <c r="AQ31" s="10" t="s">
        <v>43</v>
      </c>
      <c r="AR31" s="10" t="s">
        <v>43</v>
      </c>
      <c r="AS31" s="10" t="s">
        <v>43</v>
      </c>
      <c r="AT31" s="19">
        <v>6</v>
      </c>
      <c r="AU31" s="10" t="s">
        <v>43</v>
      </c>
      <c r="AV31" s="10" t="s">
        <v>43</v>
      </c>
      <c r="AW31" s="20">
        <v>40</v>
      </c>
      <c r="AX31" s="10" t="s">
        <v>43</v>
      </c>
      <c r="AY31" s="10" t="s">
        <v>43</v>
      </c>
      <c r="AZ31" s="19">
        <v>1</v>
      </c>
      <c r="BA31" s="19">
        <v>2</v>
      </c>
      <c r="BB31" s="19">
        <v>3</v>
      </c>
      <c r="BC31" s="20">
        <v>19</v>
      </c>
      <c r="BD31" s="20">
        <v>20</v>
      </c>
      <c r="BE31" s="20">
        <v>22</v>
      </c>
    </row>
    <row r="32" spans="7:57" ht="12.75">
      <c r="G32" s="12"/>
      <c r="H32" s="39">
        <v>275</v>
      </c>
      <c r="I32" s="39"/>
      <c r="J32" s="10" t="s">
        <v>43</v>
      </c>
      <c r="K32" s="10" t="s">
        <v>43</v>
      </c>
      <c r="L32" s="10" t="s">
        <v>43</v>
      </c>
      <c r="M32" s="10" t="s">
        <v>43</v>
      </c>
      <c r="N32" s="10" t="s">
        <v>43</v>
      </c>
      <c r="O32" s="10" t="s">
        <v>43</v>
      </c>
      <c r="P32" s="10" t="s">
        <v>43</v>
      </c>
      <c r="Q32" s="10" t="s">
        <v>43</v>
      </c>
      <c r="R32" s="10" t="s">
        <v>43</v>
      </c>
      <c r="S32" s="10" t="s">
        <v>43</v>
      </c>
      <c r="T32" s="10" t="s">
        <v>43</v>
      </c>
      <c r="U32" s="10" t="s">
        <v>43</v>
      </c>
      <c r="V32" s="10" t="s">
        <v>43</v>
      </c>
      <c r="W32" s="10" t="s">
        <v>43</v>
      </c>
      <c r="X32" s="10" t="s">
        <v>43</v>
      </c>
      <c r="Y32" s="10" t="s">
        <v>43</v>
      </c>
      <c r="Z32" s="10" t="s">
        <v>43</v>
      </c>
      <c r="AA32" s="10" t="s">
        <v>43</v>
      </c>
      <c r="AB32" s="19">
        <v>3</v>
      </c>
      <c r="AC32" s="19">
        <v>4</v>
      </c>
      <c r="AD32" s="19">
        <v>6</v>
      </c>
      <c r="AE32" s="20">
        <v>27</v>
      </c>
      <c r="AF32" s="20">
        <v>30</v>
      </c>
      <c r="AG32" s="20">
        <v>32</v>
      </c>
      <c r="AH32" s="10" t="s">
        <v>43</v>
      </c>
      <c r="AI32" s="10" t="s">
        <v>43</v>
      </c>
      <c r="AJ32" s="10" t="s">
        <v>43</v>
      </c>
      <c r="AK32" s="10" t="s">
        <v>43</v>
      </c>
      <c r="AL32" s="10" t="s">
        <v>43</v>
      </c>
      <c r="AM32" s="10" t="s">
        <v>43</v>
      </c>
      <c r="AN32" s="10" t="s">
        <v>43</v>
      </c>
      <c r="AO32" s="10" t="s">
        <v>43</v>
      </c>
      <c r="AP32" s="10" t="s">
        <v>43</v>
      </c>
      <c r="AQ32" s="10" t="s">
        <v>43</v>
      </c>
      <c r="AR32" s="10" t="s">
        <v>43</v>
      </c>
      <c r="AS32" s="10" t="s">
        <v>43</v>
      </c>
      <c r="AT32" s="19">
        <v>5</v>
      </c>
      <c r="AU32" s="19">
        <v>8</v>
      </c>
      <c r="AV32" s="10" t="s">
        <v>43</v>
      </c>
      <c r="AW32" s="20">
        <v>39</v>
      </c>
      <c r="AX32" s="20">
        <v>44</v>
      </c>
      <c r="AY32" s="10" t="s">
        <v>43</v>
      </c>
      <c r="AZ32" s="19">
        <v>1</v>
      </c>
      <c r="BA32" s="19">
        <v>2</v>
      </c>
      <c r="BB32" s="19">
        <v>3</v>
      </c>
      <c r="BC32" s="20">
        <v>19</v>
      </c>
      <c r="BD32" s="20">
        <v>20</v>
      </c>
      <c r="BE32" s="20">
        <v>21</v>
      </c>
    </row>
    <row r="33" spans="7:57" ht="12.75">
      <c r="G33" s="12"/>
      <c r="H33" s="39">
        <v>300</v>
      </c>
      <c r="I33" s="39"/>
      <c r="J33" s="10" t="s">
        <v>43</v>
      </c>
      <c r="K33" s="10" t="s">
        <v>43</v>
      </c>
      <c r="L33" s="10" t="s">
        <v>43</v>
      </c>
      <c r="M33" s="10" t="s">
        <v>43</v>
      </c>
      <c r="N33" s="10" t="s">
        <v>43</v>
      </c>
      <c r="O33" s="10" t="s">
        <v>43</v>
      </c>
      <c r="P33" s="10" t="s">
        <v>43</v>
      </c>
      <c r="Q33" s="10" t="s">
        <v>43</v>
      </c>
      <c r="R33" s="10" t="s">
        <v>43</v>
      </c>
      <c r="S33" s="10" t="s">
        <v>43</v>
      </c>
      <c r="T33" s="10" t="s">
        <v>43</v>
      </c>
      <c r="U33" s="10" t="s">
        <v>43</v>
      </c>
      <c r="V33" s="10" t="s">
        <v>43</v>
      </c>
      <c r="W33" s="10" t="s">
        <v>43</v>
      </c>
      <c r="X33" s="10" t="s">
        <v>43</v>
      </c>
      <c r="Y33" s="10" t="s">
        <v>43</v>
      </c>
      <c r="Z33" s="10" t="s">
        <v>43</v>
      </c>
      <c r="AA33" s="10" t="s">
        <v>43</v>
      </c>
      <c r="AB33" s="19">
        <v>2</v>
      </c>
      <c r="AC33" s="19">
        <v>4</v>
      </c>
      <c r="AD33" s="19">
        <v>5</v>
      </c>
      <c r="AE33" s="20">
        <v>27</v>
      </c>
      <c r="AF33" s="20">
        <v>29</v>
      </c>
      <c r="AG33" s="20">
        <v>31</v>
      </c>
      <c r="AH33" s="10" t="s">
        <v>43</v>
      </c>
      <c r="AI33" s="10" t="s">
        <v>43</v>
      </c>
      <c r="AJ33" s="10" t="s">
        <v>43</v>
      </c>
      <c r="AK33" s="10" t="s">
        <v>43</v>
      </c>
      <c r="AL33" s="10" t="s">
        <v>43</v>
      </c>
      <c r="AM33" s="10" t="s">
        <v>43</v>
      </c>
      <c r="AN33" s="10" t="s">
        <v>43</v>
      </c>
      <c r="AO33" s="10" t="s">
        <v>43</v>
      </c>
      <c r="AP33" s="10" t="s">
        <v>43</v>
      </c>
      <c r="AQ33" s="10" t="s">
        <v>43</v>
      </c>
      <c r="AR33" s="10" t="s">
        <v>43</v>
      </c>
      <c r="AS33" s="10" t="s">
        <v>43</v>
      </c>
      <c r="AT33" s="19">
        <v>5</v>
      </c>
      <c r="AU33" s="19">
        <v>7</v>
      </c>
      <c r="AV33" s="19">
        <v>10</v>
      </c>
      <c r="AW33" s="20">
        <v>38</v>
      </c>
      <c r="AX33" s="20">
        <v>42</v>
      </c>
      <c r="AY33" s="20">
        <v>46</v>
      </c>
      <c r="AZ33" s="19">
        <v>1</v>
      </c>
      <c r="BA33" s="19">
        <v>2</v>
      </c>
      <c r="BB33" s="19">
        <v>3</v>
      </c>
      <c r="BC33" s="20">
        <v>19</v>
      </c>
      <c r="BD33" s="20">
        <v>19</v>
      </c>
      <c r="BE33" s="20">
        <v>21</v>
      </c>
    </row>
    <row r="34" spans="7:57" ht="12.75">
      <c r="G34" s="12"/>
      <c r="H34" s="39">
        <v>325</v>
      </c>
      <c r="I34" s="39"/>
      <c r="J34" s="19">
        <v>9</v>
      </c>
      <c r="K34" s="10" t="s">
        <v>43</v>
      </c>
      <c r="L34" s="10" t="s">
        <v>43</v>
      </c>
      <c r="M34" s="20">
        <v>57</v>
      </c>
      <c r="N34" s="10" t="s">
        <v>43</v>
      </c>
      <c r="O34" s="10" t="s">
        <v>43</v>
      </c>
      <c r="P34" s="10" t="s">
        <v>43</v>
      </c>
      <c r="Q34" s="10" t="s">
        <v>43</v>
      </c>
      <c r="R34" s="10" t="s">
        <v>43</v>
      </c>
      <c r="S34" s="10" t="s">
        <v>43</v>
      </c>
      <c r="T34" s="10" t="s">
        <v>43</v>
      </c>
      <c r="U34" s="10" t="s">
        <v>43</v>
      </c>
      <c r="V34" s="10" t="s">
        <v>43</v>
      </c>
      <c r="W34" s="10" t="s">
        <v>43</v>
      </c>
      <c r="X34" s="10" t="s">
        <v>43</v>
      </c>
      <c r="Y34" s="10" t="s">
        <v>43</v>
      </c>
      <c r="Z34" s="10" t="s">
        <v>43</v>
      </c>
      <c r="AA34" s="10" t="s">
        <v>43</v>
      </c>
      <c r="AB34" s="19">
        <v>2</v>
      </c>
      <c r="AC34" s="19">
        <v>3</v>
      </c>
      <c r="AD34" s="19">
        <v>5</v>
      </c>
      <c r="AE34" s="20">
        <v>26</v>
      </c>
      <c r="AF34" s="20">
        <v>28</v>
      </c>
      <c r="AG34" s="20">
        <v>30</v>
      </c>
      <c r="AH34" s="10" t="s">
        <v>43</v>
      </c>
      <c r="AI34" s="10" t="s">
        <v>43</v>
      </c>
      <c r="AJ34" s="10" t="s">
        <v>43</v>
      </c>
      <c r="AK34" s="10" t="s">
        <v>43</v>
      </c>
      <c r="AL34" s="10" t="s">
        <v>43</v>
      </c>
      <c r="AM34" s="10" t="s">
        <v>43</v>
      </c>
      <c r="AN34" s="10" t="s">
        <v>43</v>
      </c>
      <c r="AO34" s="10" t="s">
        <v>43</v>
      </c>
      <c r="AP34" s="10" t="s">
        <v>43</v>
      </c>
      <c r="AQ34" s="10" t="s">
        <v>43</v>
      </c>
      <c r="AR34" s="10" t="s">
        <v>43</v>
      </c>
      <c r="AS34" s="10" t="s">
        <v>43</v>
      </c>
      <c r="AT34" s="19">
        <v>4</v>
      </c>
      <c r="AU34" s="19">
        <v>6</v>
      </c>
      <c r="AV34" s="19">
        <v>9</v>
      </c>
      <c r="AW34" s="20">
        <v>37</v>
      </c>
      <c r="AX34" s="20">
        <v>41</v>
      </c>
      <c r="AY34" s="20">
        <v>45</v>
      </c>
      <c r="AZ34" s="19">
        <v>1</v>
      </c>
      <c r="BA34" s="19">
        <v>1</v>
      </c>
      <c r="BB34" s="19">
        <v>2</v>
      </c>
      <c r="BC34" s="20">
        <v>19</v>
      </c>
      <c r="BD34" s="20">
        <v>19</v>
      </c>
      <c r="BE34" s="20">
        <v>20</v>
      </c>
    </row>
    <row r="35" spans="7:57" ht="12.75">
      <c r="G35" s="12"/>
      <c r="H35" s="39">
        <v>350</v>
      </c>
      <c r="I35" s="39"/>
      <c r="J35" s="19">
        <v>8</v>
      </c>
      <c r="K35" s="19">
        <v>12</v>
      </c>
      <c r="L35" s="10" t="s">
        <v>43</v>
      </c>
      <c r="M35" s="20">
        <v>55</v>
      </c>
      <c r="N35" s="20">
        <v>62</v>
      </c>
      <c r="O35" s="10" t="s">
        <v>43</v>
      </c>
      <c r="P35" s="10" t="s">
        <v>43</v>
      </c>
      <c r="Q35" s="10" t="s">
        <v>43</v>
      </c>
      <c r="R35" s="10" t="s">
        <v>43</v>
      </c>
      <c r="S35" s="10" t="s">
        <v>43</v>
      </c>
      <c r="T35" s="10" t="s">
        <v>43</v>
      </c>
      <c r="U35" s="10" t="s">
        <v>43</v>
      </c>
      <c r="V35" s="10" t="s">
        <v>43</v>
      </c>
      <c r="W35" s="10" t="s">
        <v>43</v>
      </c>
      <c r="X35" s="10" t="s">
        <v>43</v>
      </c>
      <c r="Y35" s="10" t="s">
        <v>43</v>
      </c>
      <c r="Z35" s="10" t="s">
        <v>43</v>
      </c>
      <c r="AA35" s="10" t="s">
        <v>43</v>
      </c>
      <c r="AB35" s="19">
        <v>2</v>
      </c>
      <c r="AC35" s="19">
        <v>3</v>
      </c>
      <c r="AD35" s="19">
        <v>4</v>
      </c>
      <c r="AE35" s="20">
        <v>26</v>
      </c>
      <c r="AF35" s="20">
        <v>28</v>
      </c>
      <c r="AG35" s="20">
        <v>29</v>
      </c>
      <c r="AH35" s="10" t="s">
        <v>43</v>
      </c>
      <c r="AI35" s="10" t="s">
        <v>43</v>
      </c>
      <c r="AJ35" s="10" t="s">
        <v>43</v>
      </c>
      <c r="AK35" s="10" t="s">
        <v>43</v>
      </c>
      <c r="AL35" s="10" t="s">
        <v>43</v>
      </c>
      <c r="AM35" s="10" t="s">
        <v>43</v>
      </c>
      <c r="AN35" s="10" t="s">
        <v>43</v>
      </c>
      <c r="AO35" s="10" t="s">
        <v>43</v>
      </c>
      <c r="AP35" s="10" t="s">
        <v>43</v>
      </c>
      <c r="AQ35" s="10" t="s">
        <v>43</v>
      </c>
      <c r="AR35" s="10" t="s">
        <v>43</v>
      </c>
      <c r="AS35" s="10" t="s">
        <v>43</v>
      </c>
      <c r="AT35" s="19">
        <v>4</v>
      </c>
      <c r="AU35" s="19">
        <v>6</v>
      </c>
      <c r="AV35" s="19">
        <v>8</v>
      </c>
      <c r="AW35" s="20">
        <v>36</v>
      </c>
      <c r="AX35" s="20">
        <v>40</v>
      </c>
      <c r="AY35" s="20">
        <v>43</v>
      </c>
      <c r="AZ35" s="19">
        <v>1</v>
      </c>
      <c r="BA35" s="19">
        <v>1</v>
      </c>
      <c r="BB35" s="19">
        <v>2</v>
      </c>
      <c r="BC35" s="20">
        <v>19</v>
      </c>
      <c r="BD35" s="20">
        <v>19</v>
      </c>
      <c r="BE35" s="20">
        <v>20</v>
      </c>
    </row>
    <row r="36" spans="7:57" ht="12.75">
      <c r="G36" s="12"/>
      <c r="H36" s="39">
        <v>400</v>
      </c>
      <c r="I36" s="39"/>
      <c r="J36" s="19">
        <v>7</v>
      </c>
      <c r="K36" s="19">
        <v>11</v>
      </c>
      <c r="L36" s="19">
        <v>14</v>
      </c>
      <c r="M36" s="20">
        <v>53</v>
      </c>
      <c r="N36" s="20">
        <v>59</v>
      </c>
      <c r="O36" s="20">
        <v>64</v>
      </c>
      <c r="P36" s="10" t="s">
        <v>43</v>
      </c>
      <c r="Q36" s="10" t="s">
        <v>43</v>
      </c>
      <c r="R36" s="10" t="s">
        <v>43</v>
      </c>
      <c r="S36" s="10" t="s">
        <v>43</v>
      </c>
      <c r="T36" s="10" t="s">
        <v>43</v>
      </c>
      <c r="U36" s="10" t="s">
        <v>43</v>
      </c>
      <c r="V36" s="10" t="s">
        <v>43</v>
      </c>
      <c r="W36" s="10" t="s">
        <v>43</v>
      </c>
      <c r="X36" s="10" t="s">
        <v>43</v>
      </c>
      <c r="Y36" s="10" t="s">
        <v>43</v>
      </c>
      <c r="Z36" s="10" t="s">
        <v>43</v>
      </c>
      <c r="AA36" s="10" t="s">
        <v>43</v>
      </c>
      <c r="AB36" s="19">
        <v>1</v>
      </c>
      <c r="AC36" s="19">
        <v>2</v>
      </c>
      <c r="AD36" s="19">
        <v>4</v>
      </c>
      <c r="AE36" s="20">
        <v>25</v>
      </c>
      <c r="AF36" s="20">
        <v>27</v>
      </c>
      <c r="AG36" s="20">
        <v>28</v>
      </c>
      <c r="AH36" s="10" t="s">
        <v>43</v>
      </c>
      <c r="AI36" s="10" t="s">
        <v>43</v>
      </c>
      <c r="AJ36" s="10" t="s">
        <v>43</v>
      </c>
      <c r="AK36" s="10" t="s">
        <v>43</v>
      </c>
      <c r="AL36" s="10" t="s">
        <v>43</v>
      </c>
      <c r="AM36" s="10" t="s">
        <v>43</v>
      </c>
      <c r="AN36" s="10" t="s">
        <v>43</v>
      </c>
      <c r="AO36" s="10" t="s">
        <v>43</v>
      </c>
      <c r="AP36" s="10" t="s">
        <v>43</v>
      </c>
      <c r="AQ36" s="10" t="s">
        <v>43</v>
      </c>
      <c r="AR36" s="10" t="s">
        <v>43</v>
      </c>
      <c r="AS36" s="10" t="s">
        <v>43</v>
      </c>
      <c r="AT36" s="19">
        <v>3</v>
      </c>
      <c r="AU36" s="19">
        <v>5</v>
      </c>
      <c r="AV36" s="19">
        <v>7</v>
      </c>
      <c r="AW36" s="20">
        <v>35</v>
      </c>
      <c r="AX36" s="20">
        <v>38</v>
      </c>
      <c r="AY36" s="20">
        <v>41</v>
      </c>
      <c r="AZ36" s="19">
        <v>0</v>
      </c>
      <c r="BA36" s="19">
        <v>1</v>
      </c>
      <c r="BB36" s="19">
        <v>2</v>
      </c>
      <c r="BC36" s="20">
        <v>19</v>
      </c>
      <c r="BD36" s="20">
        <v>19</v>
      </c>
      <c r="BE36" s="20">
        <v>19</v>
      </c>
    </row>
    <row r="37" spans="7:57" ht="12.75">
      <c r="G37" s="12"/>
      <c r="H37" s="39">
        <v>450</v>
      </c>
      <c r="I37" s="39"/>
      <c r="J37" s="19">
        <v>6</v>
      </c>
      <c r="K37" s="19">
        <v>9</v>
      </c>
      <c r="L37" s="19">
        <v>12</v>
      </c>
      <c r="M37" s="20">
        <v>51</v>
      </c>
      <c r="N37" s="20">
        <v>57</v>
      </c>
      <c r="O37" s="20">
        <v>61</v>
      </c>
      <c r="P37" s="10" t="s">
        <v>43</v>
      </c>
      <c r="Q37" s="10" t="s">
        <v>43</v>
      </c>
      <c r="R37" s="10" t="s">
        <v>43</v>
      </c>
      <c r="S37" s="10" t="s">
        <v>43</v>
      </c>
      <c r="T37" s="10" t="s">
        <v>43</v>
      </c>
      <c r="U37" s="10" t="s">
        <v>43</v>
      </c>
      <c r="V37" s="10" t="s">
        <v>43</v>
      </c>
      <c r="W37" s="10" t="s">
        <v>43</v>
      </c>
      <c r="X37" s="10" t="s">
        <v>43</v>
      </c>
      <c r="Y37" s="10" t="s">
        <v>43</v>
      </c>
      <c r="Z37" s="10" t="s">
        <v>43</v>
      </c>
      <c r="AA37" s="10" t="s">
        <v>43</v>
      </c>
      <c r="AB37" s="19">
        <v>1</v>
      </c>
      <c r="AC37" s="19">
        <v>2</v>
      </c>
      <c r="AD37" s="19">
        <v>3</v>
      </c>
      <c r="AE37" s="20">
        <v>25</v>
      </c>
      <c r="AF37" s="20">
        <v>26</v>
      </c>
      <c r="AG37" s="20">
        <v>27</v>
      </c>
      <c r="AH37" s="10" t="s">
        <v>43</v>
      </c>
      <c r="AI37" s="10" t="s">
        <v>43</v>
      </c>
      <c r="AJ37" s="10" t="s">
        <v>43</v>
      </c>
      <c r="AK37" s="10" t="s">
        <v>43</v>
      </c>
      <c r="AL37" s="10" t="s">
        <v>43</v>
      </c>
      <c r="AM37" s="10" t="s">
        <v>43</v>
      </c>
      <c r="AN37" s="19">
        <v>12</v>
      </c>
      <c r="AO37" s="10" t="s">
        <v>43</v>
      </c>
      <c r="AP37" s="10" t="s">
        <v>43</v>
      </c>
      <c r="AQ37" s="20">
        <v>76</v>
      </c>
      <c r="AR37" s="10" t="s">
        <v>43</v>
      </c>
      <c r="AS37" s="10" t="s">
        <v>43</v>
      </c>
      <c r="AT37" s="19">
        <v>3</v>
      </c>
      <c r="AU37" s="19">
        <v>4</v>
      </c>
      <c r="AV37" s="19">
        <v>6</v>
      </c>
      <c r="AW37" s="20">
        <v>34</v>
      </c>
      <c r="AX37" s="20">
        <v>37</v>
      </c>
      <c r="AY37" s="20">
        <v>40</v>
      </c>
      <c r="AZ37" s="19">
        <v>0</v>
      </c>
      <c r="BA37" s="19">
        <v>1</v>
      </c>
      <c r="BB37" s="19">
        <v>1</v>
      </c>
      <c r="BC37" s="20">
        <v>19</v>
      </c>
      <c r="BD37" s="20">
        <v>19</v>
      </c>
      <c r="BE37" s="20">
        <v>19</v>
      </c>
    </row>
    <row r="38" spans="7:57" ht="12.75">
      <c r="G38" s="12"/>
      <c r="H38" s="39">
        <v>500</v>
      </c>
      <c r="I38" s="39"/>
      <c r="J38" s="19">
        <v>5</v>
      </c>
      <c r="K38" s="19">
        <v>8</v>
      </c>
      <c r="L38" s="19">
        <v>11</v>
      </c>
      <c r="M38" s="20">
        <v>50</v>
      </c>
      <c r="N38" s="20">
        <v>55</v>
      </c>
      <c r="O38" s="20">
        <v>59</v>
      </c>
      <c r="P38" s="10" t="s">
        <v>43</v>
      </c>
      <c r="Q38" s="10" t="s">
        <v>43</v>
      </c>
      <c r="R38" s="10" t="s">
        <v>43</v>
      </c>
      <c r="S38" s="10" t="s">
        <v>43</v>
      </c>
      <c r="T38" s="10" t="s">
        <v>43</v>
      </c>
      <c r="U38" s="10" t="s">
        <v>43</v>
      </c>
      <c r="V38" s="10" t="s">
        <v>43</v>
      </c>
      <c r="W38" s="10" t="s">
        <v>43</v>
      </c>
      <c r="X38" s="10" t="s">
        <v>43</v>
      </c>
      <c r="Y38" s="10" t="s">
        <v>43</v>
      </c>
      <c r="Z38" s="10" t="s">
        <v>43</v>
      </c>
      <c r="AA38" s="10" t="s">
        <v>43</v>
      </c>
      <c r="AB38" s="19">
        <v>1</v>
      </c>
      <c r="AC38" s="19">
        <v>1</v>
      </c>
      <c r="AD38" s="19">
        <v>3</v>
      </c>
      <c r="AE38" s="20">
        <v>25</v>
      </c>
      <c r="AF38" s="20">
        <v>25</v>
      </c>
      <c r="AG38" s="20">
        <v>26</v>
      </c>
      <c r="AH38" s="10" t="s">
        <v>43</v>
      </c>
      <c r="AI38" s="10" t="s">
        <v>43</v>
      </c>
      <c r="AJ38" s="10" t="s">
        <v>43</v>
      </c>
      <c r="AK38" s="10" t="s">
        <v>43</v>
      </c>
      <c r="AL38" s="10" t="s">
        <v>43</v>
      </c>
      <c r="AM38" s="10" t="s">
        <v>43</v>
      </c>
      <c r="AN38" s="19">
        <v>10</v>
      </c>
      <c r="AO38" s="19">
        <v>16</v>
      </c>
      <c r="AP38" s="10" t="s">
        <v>43</v>
      </c>
      <c r="AQ38" s="20">
        <v>74</v>
      </c>
      <c r="AR38" s="20">
        <v>83</v>
      </c>
      <c r="AS38" s="10" t="s">
        <v>43</v>
      </c>
      <c r="AT38" s="19">
        <v>2</v>
      </c>
      <c r="AU38" s="19">
        <v>4</v>
      </c>
      <c r="AV38" s="19">
        <v>5</v>
      </c>
      <c r="AW38" s="20">
        <v>34</v>
      </c>
      <c r="AX38" s="20">
        <v>36</v>
      </c>
      <c r="AY38" s="20">
        <v>38</v>
      </c>
      <c r="AZ38" s="19">
        <v>0</v>
      </c>
      <c r="BA38" s="19">
        <v>0</v>
      </c>
      <c r="BB38" s="19">
        <v>1</v>
      </c>
      <c r="BC38" s="20">
        <v>19</v>
      </c>
      <c r="BD38" s="20">
        <v>19</v>
      </c>
      <c r="BE38" s="20">
        <v>19</v>
      </c>
    </row>
    <row r="39" spans="7:57" ht="12.75">
      <c r="G39" s="12"/>
      <c r="H39" s="39">
        <v>550</v>
      </c>
      <c r="I39" s="39"/>
      <c r="J39" s="19">
        <v>4</v>
      </c>
      <c r="K39" s="19">
        <v>7</v>
      </c>
      <c r="L39" s="19">
        <v>10</v>
      </c>
      <c r="M39" s="20">
        <v>49</v>
      </c>
      <c r="N39" s="20">
        <v>53</v>
      </c>
      <c r="O39" s="20">
        <v>57</v>
      </c>
      <c r="P39" s="10" t="s">
        <v>43</v>
      </c>
      <c r="Q39" s="10" t="s">
        <v>43</v>
      </c>
      <c r="R39" s="10" t="s">
        <v>43</v>
      </c>
      <c r="S39" s="10" t="s">
        <v>43</v>
      </c>
      <c r="T39" s="10" t="s">
        <v>43</v>
      </c>
      <c r="U39" s="10" t="s">
        <v>43</v>
      </c>
      <c r="V39" s="10" t="s">
        <v>43</v>
      </c>
      <c r="W39" s="10" t="s">
        <v>43</v>
      </c>
      <c r="X39" s="10" t="s">
        <v>43</v>
      </c>
      <c r="Y39" s="10" t="s">
        <v>43</v>
      </c>
      <c r="Z39" s="10" t="s">
        <v>43</v>
      </c>
      <c r="AA39" s="10" t="s">
        <v>43</v>
      </c>
      <c r="AB39" s="19">
        <v>0</v>
      </c>
      <c r="AC39" s="19">
        <v>1</v>
      </c>
      <c r="AD39" s="19">
        <v>2</v>
      </c>
      <c r="AE39" s="20">
        <v>25</v>
      </c>
      <c r="AF39" s="20">
        <v>25</v>
      </c>
      <c r="AG39" s="20">
        <v>26</v>
      </c>
      <c r="AH39" s="10" t="s">
        <v>43</v>
      </c>
      <c r="AI39" s="10" t="s">
        <v>43</v>
      </c>
      <c r="AJ39" s="10" t="s">
        <v>43</v>
      </c>
      <c r="AK39" s="10" t="s">
        <v>43</v>
      </c>
      <c r="AL39" s="10" t="s">
        <v>43</v>
      </c>
      <c r="AM39" s="10" t="s">
        <v>43</v>
      </c>
      <c r="AN39" s="19">
        <v>9</v>
      </c>
      <c r="AO39" s="19">
        <v>14</v>
      </c>
      <c r="AP39" s="19">
        <v>19</v>
      </c>
      <c r="AQ39" s="20">
        <v>72</v>
      </c>
      <c r="AR39" s="20">
        <v>80</v>
      </c>
      <c r="AS39" s="20">
        <v>88</v>
      </c>
      <c r="AT39" s="19">
        <v>2</v>
      </c>
      <c r="AU39" s="19">
        <v>3</v>
      </c>
      <c r="AV39" s="19">
        <v>4</v>
      </c>
      <c r="AW39" s="20">
        <v>34</v>
      </c>
      <c r="AX39" s="20">
        <v>35</v>
      </c>
      <c r="AY39" s="20">
        <v>37</v>
      </c>
      <c r="AZ39" s="19">
        <v>0</v>
      </c>
      <c r="BA39" s="19">
        <v>0</v>
      </c>
      <c r="BB39" s="19">
        <v>1</v>
      </c>
      <c r="BC39" s="20">
        <v>19</v>
      </c>
      <c r="BD39" s="20">
        <v>19</v>
      </c>
      <c r="BE39" s="20">
        <v>19</v>
      </c>
    </row>
    <row r="40" spans="7:57" ht="12.75">
      <c r="G40" s="12"/>
      <c r="H40" s="39">
        <v>600</v>
      </c>
      <c r="I40" s="39"/>
      <c r="J40" s="19">
        <v>4</v>
      </c>
      <c r="K40" s="19">
        <v>6</v>
      </c>
      <c r="L40" s="19">
        <v>9</v>
      </c>
      <c r="M40" s="20">
        <v>48</v>
      </c>
      <c r="N40" s="20">
        <v>52</v>
      </c>
      <c r="O40" s="20">
        <v>55</v>
      </c>
      <c r="P40" s="10" t="s">
        <v>43</v>
      </c>
      <c r="Q40" s="10" t="s">
        <v>43</v>
      </c>
      <c r="R40" s="10" t="s">
        <v>43</v>
      </c>
      <c r="S40" s="10" t="s">
        <v>43</v>
      </c>
      <c r="T40" s="10" t="s">
        <v>43</v>
      </c>
      <c r="U40" s="10" t="s">
        <v>43</v>
      </c>
      <c r="V40" s="10" t="s">
        <v>43</v>
      </c>
      <c r="W40" s="10" t="s">
        <v>43</v>
      </c>
      <c r="X40" s="10" t="s">
        <v>43</v>
      </c>
      <c r="Y40" s="10" t="s">
        <v>43</v>
      </c>
      <c r="Z40" s="10" t="s">
        <v>43</v>
      </c>
      <c r="AA40" s="10" t="s">
        <v>43</v>
      </c>
      <c r="AB40" s="19">
        <v>0</v>
      </c>
      <c r="AC40" s="19">
        <v>1</v>
      </c>
      <c r="AD40" s="19">
        <v>2</v>
      </c>
      <c r="AE40" s="20">
        <v>25</v>
      </c>
      <c r="AF40" s="20">
        <v>25</v>
      </c>
      <c r="AG40" s="20">
        <v>26</v>
      </c>
      <c r="AH40" s="19">
        <v>19</v>
      </c>
      <c r="AI40" s="10" t="s">
        <v>43</v>
      </c>
      <c r="AJ40" s="10" t="s">
        <v>43</v>
      </c>
      <c r="AK40" s="20">
        <v>116</v>
      </c>
      <c r="AL40" s="10" t="s">
        <v>43</v>
      </c>
      <c r="AM40" s="10" t="s">
        <v>43</v>
      </c>
      <c r="AN40" s="19">
        <v>8</v>
      </c>
      <c r="AO40" s="19">
        <v>13</v>
      </c>
      <c r="AP40" s="19">
        <v>17</v>
      </c>
      <c r="AQ40" s="20">
        <v>70</v>
      </c>
      <c r="AR40" s="20">
        <v>78</v>
      </c>
      <c r="AS40" s="20">
        <v>84</v>
      </c>
      <c r="AT40" s="19">
        <v>1</v>
      </c>
      <c r="AU40" s="19">
        <v>3</v>
      </c>
      <c r="AV40" s="19">
        <v>4</v>
      </c>
      <c r="AW40" s="20">
        <v>34</v>
      </c>
      <c r="AX40" s="20">
        <v>34</v>
      </c>
      <c r="AY40" s="20">
        <v>36</v>
      </c>
      <c r="AZ40" s="19">
        <v>0</v>
      </c>
      <c r="BA40" s="19">
        <v>0</v>
      </c>
      <c r="BB40" s="19">
        <v>1</v>
      </c>
      <c r="BC40" s="20">
        <v>19</v>
      </c>
      <c r="BD40" s="20">
        <v>19</v>
      </c>
      <c r="BE40" s="20">
        <v>19</v>
      </c>
    </row>
    <row r="41" spans="7:57" ht="12.75">
      <c r="G41" s="12"/>
      <c r="H41" s="39">
        <v>700</v>
      </c>
      <c r="I41" s="39"/>
      <c r="J41" s="19">
        <v>3</v>
      </c>
      <c r="K41" s="19">
        <v>5</v>
      </c>
      <c r="L41" s="19">
        <v>7</v>
      </c>
      <c r="M41" s="20">
        <v>46</v>
      </c>
      <c r="N41" s="20">
        <v>50</v>
      </c>
      <c r="O41" s="20">
        <v>52</v>
      </c>
      <c r="P41" s="10" t="s">
        <v>43</v>
      </c>
      <c r="Q41" s="10" t="s">
        <v>43</v>
      </c>
      <c r="R41" s="10" t="s">
        <v>43</v>
      </c>
      <c r="S41" s="10" t="s">
        <v>43</v>
      </c>
      <c r="T41" s="10" t="s">
        <v>43</v>
      </c>
      <c r="U41" s="10" t="s">
        <v>43</v>
      </c>
      <c r="V41" s="10" t="s">
        <v>43</v>
      </c>
      <c r="W41" s="10" t="s">
        <v>43</v>
      </c>
      <c r="X41" s="10" t="s">
        <v>43</v>
      </c>
      <c r="Y41" s="10" t="s">
        <v>43</v>
      </c>
      <c r="Z41" s="10" t="s">
        <v>43</v>
      </c>
      <c r="AA41" s="10" t="s">
        <v>43</v>
      </c>
      <c r="AB41" s="19">
        <v>0</v>
      </c>
      <c r="AC41" s="19">
        <v>0</v>
      </c>
      <c r="AD41" s="19">
        <v>2</v>
      </c>
      <c r="AE41" s="20">
        <v>25</v>
      </c>
      <c r="AF41" s="20">
        <v>25</v>
      </c>
      <c r="AG41" s="20">
        <v>25</v>
      </c>
      <c r="AH41" s="19">
        <v>16</v>
      </c>
      <c r="AI41" s="19">
        <v>25</v>
      </c>
      <c r="AJ41" s="10" t="s">
        <v>43</v>
      </c>
      <c r="AK41" s="20">
        <v>110</v>
      </c>
      <c r="AL41" s="20">
        <v>125</v>
      </c>
      <c r="AM41" s="10" t="s">
        <v>43</v>
      </c>
      <c r="AN41" s="19">
        <v>7</v>
      </c>
      <c r="AO41" s="19">
        <v>11</v>
      </c>
      <c r="AP41" s="19">
        <v>15</v>
      </c>
      <c r="AQ41" s="20">
        <v>67</v>
      </c>
      <c r="AR41" s="20">
        <v>74</v>
      </c>
      <c r="AS41" s="20">
        <v>80</v>
      </c>
      <c r="AT41" s="19">
        <v>1</v>
      </c>
      <c r="AU41" s="19">
        <v>2</v>
      </c>
      <c r="AV41" s="19">
        <v>3</v>
      </c>
      <c r="AW41" s="20">
        <v>34</v>
      </c>
      <c r="AX41" s="20">
        <v>34</v>
      </c>
      <c r="AY41" s="20">
        <v>35</v>
      </c>
      <c r="AZ41" s="19">
        <v>0</v>
      </c>
      <c r="BA41" s="19">
        <v>0</v>
      </c>
      <c r="BB41" s="19">
        <v>0</v>
      </c>
      <c r="BC41" s="20">
        <v>19</v>
      </c>
      <c r="BD41" s="20">
        <v>19</v>
      </c>
      <c r="BE41" s="20">
        <v>19</v>
      </c>
    </row>
    <row r="42" spans="7:57" ht="12.75">
      <c r="G42" s="12"/>
      <c r="H42" s="39">
        <v>800</v>
      </c>
      <c r="I42" s="39"/>
      <c r="J42" s="19">
        <v>3</v>
      </c>
      <c r="K42" s="19">
        <v>4</v>
      </c>
      <c r="L42" s="19">
        <v>6</v>
      </c>
      <c r="M42" s="20">
        <v>46</v>
      </c>
      <c r="N42" s="20">
        <v>48</v>
      </c>
      <c r="O42" s="20">
        <v>50</v>
      </c>
      <c r="P42" s="10" t="s">
        <v>43</v>
      </c>
      <c r="Q42" s="10" t="s">
        <v>43</v>
      </c>
      <c r="R42" s="10" t="s">
        <v>43</v>
      </c>
      <c r="S42" s="10" t="s">
        <v>43</v>
      </c>
      <c r="T42" s="10" t="s">
        <v>43</v>
      </c>
      <c r="U42" s="10" t="s">
        <v>43</v>
      </c>
      <c r="V42" s="10" t="s">
        <v>43</v>
      </c>
      <c r="W42" s="10" t="s">
        <v>43</v>
      </c>
      <c r="X42" s="10" t="s">
        <v>43</v>
      </c>
      <c r="Y42" s="10" t="s">
        <v>43</v>
      </c>
      <c r="Z42" s="10" t="s">
        <v>43</v>
      </c>
      <c r="AA42" s="10" t="s">
        <v>43</v>
      </c>
      <c r="AB42" s="19">
        <v>0</v>
      </c>
      <c r="AC42" s="19">
        <v>0</v>
      </c>
      <c r="AD42" s="19">
        <v>1</v>
      </c>
      <c r="AE42" s="20">
        <v>25</v>
      </c>
      <c r="AF42" s="20">
        <v>25</v>
      </c>
      <c r="AG42" s="20">
        <v>25</v>
      </c>
      <c r="AH42" s="19">
        <v>14</v>
      </c>
      <c r="AI42" s="19">
        <v>22</v>
      </c>
      <c r="AJ42" s="19">
        <v>29</v>
      </c>
      <c r="AK42" s="20">
        <v>106</v>
      </c>
      <c r="AL42" s="20">
        <v>119</v>
      </c>
      <c r="AM42" s="20">
        <v>130</v>
      </c>
      <c r="AN42" s="19">
        <v>6</v>
      </c>
      <c r="AO42" s="19">
        <v>9</v>
      </c>
      <c r="AP42" s="19">
        <v>13</v>
      </c>
      <c r="AQ42" s="20">
        <v>65</v>
      </c>
      <c r="AR42" s="20">
        <v>71</v>
      </c>
      <c r="AS42" s="20">
        <v>76</v>
      </c>
      <c r="AT42" s="19">
        <v>0</v>
      </c>
      <c r="AU42" s="19">
        <v>2</v>
      </c>
      <c r="AV42" s="19">
        <v>3</v>
      </c>
      <c r="AW42" s="20">
        <v>34</v>
      </c>
      <c r="AX42" s="20">
        <v>34</v>
      </c>
      <c r="AY42" s="20">
        <v>34</v>
      </c>
      <c r="AZ42" s="19">
        <v>0</v>
      </c>
      <c r="BA42" s="19">
        <v>0</v>
      </c>
      <c r="BB42" s="19">
        <v>0</v>
      </c>
      <c r="BC42" s="20">
        <v>19</v>
      </c>
      <c r="BD42" s="20">
        <v>19</v>
      </c>
      <c r="BE42" s="20">
        <v>19</v>
      </c>
    </row>
    <row r="43" spans="7:57" ht="12.75">
      <c r="G43" s="12"/>
      <c r="H43" s="39">
        <v>900</v>
      </c>
      <c r="I43" s="39"/>
      <c r="J43" s="19">
        <v>2</v>
      </c>
      <c r="K43" s="19">
        <v>3</v>
      </c>
      <c r="L43" s="19">
        <v>5</v>
      </c>
      <c r="M43" s="20">
        <v>46</v>
      </c>
      <c r="N43" s="20">
        <v>47</v>
      </c>
      <c r="O43" s="20">
        <v>48</v>
      </c>
      <c r="P43" s="19">
        <v>23</v>
      </c>
      <c r="Q43" s="10" t="s">
        <v>43</v>
      </c>
      <c r="R43" s="10" t="s">
        <v>43</v>
      </c>
      <c r="S43" s="20">
        <v>154</v>
      </c>
      <c r="T43" s="10" t="s">
        <v>43</v>
      </c>
      <c r="U43" s="10" t="s">
        <v>43</v>
      </c>
      <c r="V43" s="10" t="s">
        <v>43</v>
      </c>
      <c r="W43" s="10" t="s">
        <v>43</v>
      </c>
      <c r="X43" s="10" t="s">
        <v>43</v>
      </c>
      <c r="Y43" s="10" t="s">
        <v>43</v>
      </c>
      <c r="Z43" s="10" t="s">
        <v>43</v>
      </c>
      <c r="AA43" s="10" t="s">
        <v>43</v>
      </c>
      <c r="AB43" s="19">
        <v>0</v>
      </c>
      <c r="AC43" s="19">
        <v>0</v>
      </c>
      <c r="AD43" s="19">
        <v>1</v>
      </c>
      <c r="AE43" s="20">
        <v>25</v>
      </c>
      <c r="AF43" s="20">
        <v>25</v>
      </c>
      <c r="AG43" s="20">
        <v>25</v>
      </c>
      <c r="AH43" s="19">
        <v>12</v>
      </c>
      <c r="AI43" s="19">
        <v>19</v>
      </c>
      <c r="AJ43" s="19">
        <v>25</v>
      </c>
      <c r="AK43" s="20">
        <v>103</v>
      </c>
      <c r="AL43" s="20">
        <v>114</v>
      </c>
      <c r="AM43" s="20">
        <v>123</v>
      </c>
      <c r="AN43" s="19">
        <v>5</v>
      </c>
      <c r="AO43" s="19">
        <v>8</v>
      </c>
      <c r="AP43" s="19">
        <v>11</v>
      </c>
      <c r="AQ43" s="20">
        <v>64</v>
      </c>
      <c r="AR43" s="20">
        <v>68</v>
      </c>
      <c r="AS43" s="20">
        <v>73</v>
      </c>
      <c r="AT43" s="19">
        <v>0</v>
      </c>
      <c r="AU43" s="19">
        <v>1</v>
      </c>
      <c r="AV43" s="19">
        <v>2</v>
      </c>
      <c r="AW43" s="20">
        <v>34</v>
      </c>
      <c r="AX43" s="20">
        <v>34</v>
      </c>
      <c r="AY43" s="20">
        <v>34</v>
      </c>
      <c r="AZ43" s="19">
        <v>0</v>
      </c>
      <c r="BA43" s="19">
        <v>0</v>
      </c>
      <c r="BB43" s="19">
        <v>0</v>
      </c>
      <c r="BC43" s="20">
        <v>19</v>
      </c>
      <c r="BD43" s="20">
        <v>19</v>
      </c>
      <c r="BE43" s="20">
        <v>19</v>
      </c>
    </row>
    <row r="44" spans="7:57" ht="12.75">
      <c r="G44" s="12"/>
      <c r="H44" s="39">
        <v>1000</v>
      </c>
      <c r="I44" s="39"/>
      <c r="J44" s="19">
        <v>2</v>
      </c>
      <c r="K44" s="19">
        <v>3</v>
      </c>
      <c r="L44" s="19">
        <v>4</v>
      </c>
      <c r="M44" s="20">
        <v>46</v>
      </c>
      <c r="N44" s="20">
        <v>46</v>
      </c>
      <c r="O44" s="20">
        <v>47</v>
      </c>
      <c r="P44" s="19">
        <v>20</v>
      </c>
      <c r="Q44" s="19">
        <v>31</v>
      </c>
      <c r="R44" s="10" t="s">
        <v>43</v>
      </c>
      <c r="S44" s="20">
        <v>149</v>
      </c>
      <c r="T44" s="20">
        <v>166</v>
      </c>
      <c r="U44" s="10" t="s">
        <v>43</v>
      </c>
      <c r="V44" s="10" t="s">
        <v>43</v>
      </c>
      <c r="W44" s="10" t="s">
        <v>43</v>
      </c>
      <c r="X44" s="10" t="s">
        <v>43</v>
      </c>
      <c r="Y44" s="10" t="s">
        <v>43</v>
      </c>
      <c r="Z44" s="10" t="s">
        <v>43</v>
      </c>
      <c r="AA44" s="10" t="s">
        <v>43</v>
      </c>
      <c r="AB44" s="19">
        <v>0</v>
      </c>
      <c r="AC44" s="19">
        <v>0</v>
      </c>
      <c r="AD44" s="19">
        <v>0</v>
      </c>
      <c r="AE44" s="20">
        <v>25</v>
      </c>
      <c r="AF44" s="20">
        <v>25</v>
      </c>
      <c r="AG44" s="20">
        <v>25</v>
      </c>
      <c r="AH44" s="19">
        <v>10</v>
      </c>
      <c r="AI44" s="19">
        <v>17</v>
      </c>
      <c r="AJ44" s="19">
        <v>22</v>
      </c>
      <c r="AK44" s="20">
        <v>100</v>
      </c>
      <c r="AL44" s="20">
        <v>110</v>
      </c>
      <c r="AM44" s="20">
        <v>118</v>
      </c>
      <c r="AN44" s="19">
        <v>4</v>
      </c>
      <c r="AO44" s="19">
        <v>7</v>
      </c>
      <c r="AP44" s="19">
        <v>9</v>
      </c>
      <c r="AQ44" s="20">
        <v>63</v>
      </c>
      <c r="AR44" s="20">
        <v>66</v>
      </c>
      <c r="AS44" s="20">
        <v>70</v>
      </c>
      <c r="AT44" s="19">
        <v>0</v>
      </c>
      <c r="AU44" s="19">
        <v>1</v>
      </c>
      <c r="AV44" s="19">
        <v>2</v>
      </c>
      <c r="AW44" s="20">
        <v>34</v>
      </c>
      <c r="AX44" s="20">
        <v>34</v>
      </c>
      <c r="AY44" s="20">
        <v>34</v>
      </c>
      <c r="AZ44" s="19">
        <v>0</v>
      </c>
      <c r="BA44" s="19">
        <v>0</v>
      </c>
      <c r="BB44" s="19">
        <v>0</v>
      </c>
      <c r="BC44" s="20">
        <v>19</v>
      </c>
      <c r="BD44" s="20">
        <v>19</v>
      </c>
      <c r="BE44" s="20">
        <v>19</v>
      </c>
    </row>
    <row r="45" spans="7:57" ht="12.75">
      <c r="G45" s="12"/>
      <c r="H45" s="39">
        <v>1200</v>
      </c>
      <c r="I45" s="39"/>
      <c r="J45" s="19">
        <v>1</v>
      </c>
      <c r="K45" s="19">
        <v>2</v>
      </c>
      <c r="L45" s="19">
        <v>3</v>
      </c>
      <c r="M45" s="20">
        <v>46</v>
      </c>
      <c r="N45" s="20">
        <v>46</v>
      </c>
      <c r="O45" s="20">
        <v>46</v>
      </c>
      <c r="P45" s="19">
        <v>16</v>
      </c>
      <c r="Q45" s="19">
        <v>25</v>
      </c>
      <c r="R45" s="19">
        <v>34</v>
      </c>
      <c r="S45" s="20">
        <v>142</v>
      </c>
      <c r="T45" s="20">
        <v>155</v>
      </c>
      <c r="U45" s="20">
        <v>169</v>
      </c>
      <c r="V45" s="10" t="s">
        <v>43</v>
      </c>
      <c r="W45" s="10" t="s">
        <v>43</v>
      </c>
      <c r="X45" s="10" t="s">
        <v>43</v>
      </c>
      <c r="Y45" s="10" t="s">
        <v>43</v>
      </c>
      <c r="Z45" s="10" t="s">
        <v>43</v>
      </c>
      <c r="AA45" s="10" t="s">
        <v>43</v>
      </c>
      <c r="AB45" s="19">
        <v>0</v>
      </c>
      <c r="AC45" s="19">
        <v>0</v>
      </c>
      <c r="AD45" s="19">
        <v>0</v>
      </c>
      <c r="AE45" s="20">
        <v>25</v>
      </c>
      <c r="AF45" s="20">
        <v>25</v>
      </c>
      <c r="AG45" s="20">
        <v>25</v>
      </c>
      <c r="AH45" s="19">
        <v>8</v>
      </c>
      <c r="AI45" s="19">
        <v>14</v>
      </c>
      <c r="AJ45" s="19">
        <v>18</v>
      </c>
      <c r="AK45" s="20">
        <v>96</v>
      </c>
      <c r="AL45" s="20">
        <v>104</v>
      </c>
      <c r="AM45" s="20">
        <v>111</v>
      </c>
      <c r="AN45" s="19">
        <v>3</v>
      </c>
      <c r="AO45" s="19">
        <v>5</v>
      </c>
      <c r="AP45" s="19">
        <v>7</v>
      </c>
      <c r="AQ45" s="20">
        <v>63</v>
      </c>
      <c r="AR45" s="20">
        <v>64</v>
      </c>
      <c r="AS45" s="20">
        <v>67</v>
      </c>
      <c r="AT45" s="19">
        <v>0</v>
      </c>
      <c r="AU45" s="19">
        <v>0</v>
      </c>
      <c r="AV45" s="19">
        <v>1</v>
      </c>
      <c r="AW45" s="20">
        <v>34</v>
      </c>
      <c r="AX45" s="20">
        <v>34</v>
      </c>
      <c r="AY45" s="20">
        <v>34</v>
      </c>
      <c r="AZ45" s="19">
        <v>0</v>
      </c>
      <c r="BA45" s="19">
        <v>0</v>
      </c>
      <c r="BB45" s="19">
        <v>0</v>
      </c>
      <c r="BC45" s="20">
        <v>19</v>
      </c>
      <c r="BD45" s="20">
        <v>19</v>
      </c>
      <c r="BE45" s="20">
        <v>19</v>
      </c>
    </row>
    <row r="46" spans="7:57" ht="12.75">
      <c r="G46" s="12"/>
      <c r="H46" s="39">
        <v>1400</v>
      </c>
      <c r="I46" s="39"/>
      <c r="J46" s="19">
        <v>1</v>
      </c>
      <c r="K46" s="19">
        <v>2</v>
      </c>
      <c r="L46" s="19">
        <v>2</v>
      </c>
      <c r="M46" s="20">
        <v>46</v>
      </c>
      <c r="N46" s="20">
        <v>46</v>
      </c>
      <c r="O46" s="20">
        <v>46</v>
      </c>
      <c r="P46" s="19">
        <v>13</v>
      </c>
      <c r="Q46" s="19">
        <v>21</v>
      </c>
      <c r="R46" s="19">
        <v>28</v>
      </c>
      <c r="S46" s="20">
        <v>136</v>
      </c>
      <c r="T46" s="20">
        <v>147</v>
      </c>
      <c r="U46" s="20">
        <v>159</v>
      </c>
      <c r="V46" s="19">
        <v>31</v>
      </c>
      <c r="W46" s="10" t="s">
        <v>43</v>
      </c>
      <c r="X46" s="10" t="s">
        <v>43</v>
      </c>
      <c r="Y46" s="20">
        <v>208</v>
      </c>
      <c r="Z46" s="10" t="s">
        <v>43</v>
      </c>
      <c r="AA46" s="10" t="s">
        <v>43</v>
      </c>
      <c r="AB46" s="19">
        <v>0</v>
      </c>
      <c r="AC46" s="19">
        <v>0</v>
      </c>
      <c r="AD46" s="19">
        <v>0</v>
      </c>
      <c r="AE46" s="20">
        <v>25</v>
      </c>
      <c r="AF46" s="20">
        <v>25</v>
      </c>
      <c r="AG46" s="20">
        <v>25</v>
      </c>
      <c r="AH46" s="19">
        <v>7</v>
      </c>
      <c r="AI46" s="19">
        <v>11</v>
      </c>
      <c r="AJ46" s="19">
        <v>15</v>
      </c>
      <c r="AK46" s="20">
        <v>93</v>
      </c>
      <c r="AL46" s="20">
        <v>99</v>
      </c>
      <c r="AM46" s="20">
        <v>105</v>
      </c>
      <c r="AN46" s="19">
        <v>2</v>
      </c>
      <c r="AO46" s="19">
        <v>4</v>
      </c>
      <c r="AP46" s="19">
        <v>6</v>
      </c>
      <c r="AQ46" s="20">
        <v>63</v>
      </c>
      <c r="AR46" s="20">
        <v>63</v>
      </c>
      <c r="AS46" s="20">
        <v>64</v>
      </c>
      <c r="AT46" s="19">
        <v>0</v>
      </c>
      <c r="AU46" s="19">
        <v>0</v>
      </c>
      <c r="AV46" s="19">
        <v>1</v>
      </c>
      <c r="AW46" s="20">
        <v>34</v>
      </c>
      <c r="AX46" s="20">
        <v>34</v>
      </c>
      <c r="AY46" s="20">
        <v>34</v>
      </c>
      <c r="AZ46" s="19">
        <v>0</v>
      </c>
      <c r="BA46" s="19">
        <v>0</v>
      </c>
      <c r="BB46" s="19">
        <v>0</v>
      </c>
      <c r="BC46" s="20">
        <v>19</v>
      </c>
      <c r="BD46" s="20">
        <v>19</v>
      </c>
      <c r="BE46" s="20">
        <v>19</v>
      </c>
    </row>
    <row r="47" spans="1:57" ht="12.75">
      <c r="A47" s="54" t="s">
        <v>51</v>
      </c>
      <c r="B47" s="54"/>
      <c r="C47" s="54"/>
      <c r="D47" s="54"/>
      <c r="E47" s="54"/>
      <c r="G47" s="12"/>
      <c r="H47" s="39">
        <v>1600</v>
      </c>
      <c r="I47" s="39"/>
      <c r="J47" s="19">
        <v>0</v>
      </c>
      <c r="K47" s="19">
        <v>1</v>
      </c>
      <c r="L47" s="19">
        <v>2</v>
      </c>
      <c r="M47" s="20">
        <v>46</v>
      </c>
      <c r="N47" s="20">
        <v>46</v>
      </c>
      <c r="O47" s="20">
        <v>46</v>
      </c>
      <c r="P47" s="19">
        <v>11</v>
      </c>
      <c r="Q47" s="19">
        <v>18</v>
      </c>
      <c r="R47" s="19">
        <v>24</v>
      </c>
      <c r="S47" s="20">
        <v>132</v>
      </c>
      <c r="T47" s="20">
        <v>141</v>
      </c>
      <c r="U47" s="20">
        <v>151</v>
      </c>
      <c r="V47" s="19">
        <v>26</v>
      </c>
      <c r="W47" s="19">
        <v>41</v>
      </c>
      <c r="X47" s="10" t="s">
        <v>43</v>
      </c>
      <c r="Y47" s="20">
        <v>201</v>
      </c>
      <c r="Z47" s="20">
        <v>225</v>
      </c>
      <c r="AA47" s="10" t="s">
        <v>43</v>
      </c>
      <c r="AB47" s="19">
        <v>0</v>
      </c>
      <c r="AC47" s="19">
        <v>0</v>
      </c>
      <c r="AD47" s="19">
        <v>0</v>
      </c>
      <c r="AE47" s="20">
        <v>25</v>
      </c>
      <c r="AF47" s="20">
        <v>25</v>
      </c>
      <c r="AG47" s="20">
        <v>25</v>
      </c>
      <c r="AH47" s="19">
        <v>6</v>
      </c>
      <c r="AI47" s="19">
        <v>9</v>
      </c>
      <c r="AJ47" s="19">
        <v>13</v>
      </c>
      <c r="AK47" s="20">
        <v>91</v>
      </c>
      <c r="AL47" s="20">
        <v>96</v>
      </c>
      <c r="AM47" s="20">
        <v>101</v>
      </c>
      <c r="AN47" s="19">
        <v>2</v>
      </c>
      <c r="AO47" s="19">
        <v>3</v>
      </c>
      <c r="AP47" s="19">
        <v>5</v>
      </c>
      <c r="AQ47" s="20">
        <v>63</v>
      </c>
      <c r="AR47" s="20">
        <v>63</v>
      </c>
      <c r="AS47" s="20">
        <v>63</v>
      </c>
      <c r="AT47" s="19">
        <v>0</v>
      </c>
      <c r="AU47" s="19">
        <v>0</v>
      </c>
      <c r="AV47" s="19">
        <v>1</v>
      </c>
      <c r="AW47" s="20">
        <v>34</v>
      </c>
      <c r="AX47" s="20">
        <v>34</v>
      </c>
      <c r="AY47" s="20">
        <v>34</v>
      </c>
      <c r="AZ47" s="19">
        <v>0</v>
      </c>
      <c r="BA47" s="19">
        <v>0</v>
      </c>
      <c r="BB47" s="19">
        <v>0</v>
      </c>
      <c r="BC47" s="20">
        <v>19</v>
      </c>
      <c r="BD47" s="20">
        <v>19</v>
      </c>
      <c r="BE47" s="20">
        <v>19</v>
      </c>
    </row>
    <row r="48" spans="1:57" ht="12.75">
      <c r="A48" s="54"/>
      <c r="B48" s="54"/>
      <c r="C48" s="54"/>
      <c r="D48" s="54"/>
      <c r="E48" s="54"/>
      <c r="G48" s="12"/>
      <c r="H48" s="39">
        <v>1800</v>
      </c>
      <c r="I48" s="39"/>
      <c r="J48" s="19">
        <v>0</v>
      </c>
      <c r="K48" s="19">
        <v>1</v>
      </c>
      <c r="L48" s="19">
        <v>1</v>
      </c>
      <c r="M48" s="20">
        <v>46</v>
      </c>
      <c r="N48" s="20">
        <v>46</v>
      </c>
      <c r="O48" s="20">
        <v>46</v>
      </c>
      <c r="P48" s="19">
        <v>9</v>
      </c>
      <c r="Q48" s="19">
        <v>15</v>
      </c>
      <c r="R48" s="19">
        <v>21</v>
      </c>
      <c r="S48" s="20">
        <v>129</v>
      </c>
      <c r="T48" s="20">
        <v>137</v>
      </c>
      <c r="U48" s="20">
        <v>145</v>
      </c>
      <c r="V48" s="19">
        <v>23</v>
      </c>
      <c r="W48" s="19">
        <v>36</v>
      </c>
      <c r="X48" s="19">
        <v>47</v>
      </c>
      <c r="Y48" s="20">
        <v>196</v>
      </c>
      <c r="Z48" s="20">
        <v>216</v>
      </c>
      <c r="AA48" s="20">
        <v>234</v>
      </c>
      <c r="AB48" s="19">
        <v>0</v>
      </c>
      <c r="AC48" s="19">
        <v>0</v>
      </c>
      <c r="AD48" s="19">
        <v>0</v>
      </c>
      <c r="AE48" s="20">
        <v>25</v>
      </c>
      <c r="AF48" s="20">
        <v>25</v>
      </c>
      <c r="AG48" s="20">
        <v>25</v>
      </c>
      <c r="AH48" s="19">
        <v>5</v>
      </c>
      <c r="AI48" s="19">
        <v>8</v>
      </c>
      <c r="AJ48" s="19">
        <v>11</v>
      </c>
      <c r="AK48" s="20">
        <v>89</v>
      </c>
      <c r="AL48" s="20">
        <v>93</v>
      </c>
      <c r="AM48" s="20">
        <v>98</v>
      </c>
      <c r="AN48" s="19">
        <v>1</v>
      </c>
      <c r="AO48" s="19">
        <v>2</v>
      </c>
      <c r="AP48" s="19">
        <v>4</v>
      </c>
      <c r="AQ48" s="20">
        <v>63</v>
      </c>
      <c r="AR48" s="20">
        <v>63</v>
      </c>
      <c r="AS48" s="20">
        <v>63</v>
      </c>
      <c r="AT48" s="19">
        <v>0</v>
      </c>
      <c r="AU48" s="19">
        <v>0</v>
      </c>
      <c r="AV48" s="19">
        <v>0</v>
      </c>
      <c r="AW48" s="20">
        <v>34</v>
      </c>
      <c r="AX48" s="20">
        <v>34</v>
      </c>
      <c r="AY48" s="20">
        <v>34</v>
      </c>
      <c r="AZ48" s="19">
        <v>0</v>
      </c>
      <c r="BA48" s="19">
        <v>0</v>
      </c>
      <c r="BB48" s="19">
        <v>0</v>
      </c>
      <c r="BC48" s="20">
        <v>19</v>
      </c>
      <c r="BD48" s="20">
        <v>19</v>
      </c>
      <c r="BE48" s="20">
        <v>19</v>
      </c>
    </row>
    <row r="49" spans="1:57" ht="12.75">
      <c r="A49" s="1" t="s">
        <v>1</v>
      </c>
      <c r="B49" s="1" t="s">
        <v>2</v>
      </c>
      <c r="C49" s="4" t="s">
        <v>24</v>
      </c>
      <c r="D49" s="1"/>
      <c r="E49" s="3">
        <f>I15</f>
        <v>9</v>
      </c>
      <c r="G49" s="12"/>
      <c r="H49" s="39">
        <v>2000</v>
      </c>
      <c r="I49" s="39"/>
      <c r="J49" s="19">
        <v>0</v>
      </c>
      <c r="K49" s="19">
        <v>0</v>
      </c>
      <c r="L49" s="19">
        <v>1</v>
      </c>
      <c r="M49" s="20">
        <v>46</v>
      </c>
      <c r="N49" s="20">
        <v>46</v>
      </c>
      <c r="O49" s="20">
        <v>46</v>
      </c>
      <c r="P49" s="19">
        <v>7</v>
      </c>
      <c r="Q49" s="19">
        <v>13</v>
      </c>
      <c r="R49" s="19">
        <v>18</v>
      </c>
      <c r="S49" s="20">
        <v>126</v>
      </c>
      <c r="T49" s="20">
        <v>133</v>
      </c>
      <c r="U49" s="20">
        <v>140</v>
      </c>
      <c r="V49" s="19">
        <v>20</v>
      </c>
      <c r="W49" s="19">
        <v>32</v>
      </c>
      <c r="X49" s="19">
        <v>42</v>
      </c>
      <c r="Y49" s="20">
        <v>190</v>
      </c>
      <c r="Z49" s="20">
        <v>208</v>
      </c>
      <c r="AA49" s="20">
        <v>224</v>
      </c>
      <c r="AB49" s="19">
        <v>0</v>
      </c>
      <c r="AC49" s="19">
        <v>0</v>
      </c>
      <c r="AD49" s="19">
        <v>0</v>
      </c>
      <c r="AE49" s="20">
        <v>25</v>
      </c>
      <c r="AF49" s="20">
        <v>25</v>
      </c>
      <c r="AG49" s="20">
        <v>25</v>
      </c>
      <c r="AH49" s="19">
        <v>4</v>
      </c>
      <c r="AI49" s="19">
        <v>7</v>
      </c>
      <c r="AJ49" s="19">
        <v>9</v>
      </c>
      <c r="AK49" s="20">
        <v>89</v>
      </c>
      <c r="AL49" s="20">
        <v>91</v>
      </c>
      <c r="AM49" s="20">
        <v>95</v>
      </c>
      <c r="AN49" s="19">
        <v>1</v>
      </c>
      <c r="AO49" s="19">
        <v>2</v>
      </c>
      <c r="AP49" s="19">
        <v>3</v>
      </c>
      <c r="AQ49" s="20">
        <v>63</v>
      </c>
      <c r="AR49" s="20">
        <v>63</v>
      </c>
      <c r="AS49" s="20">
        <v>63</v>
      </c>
      <c r="AT49" s="19">
        <v>0</v>
      </c>
      <c r="AU49" s="19">
        <v>0</v>
      </c>
      <c r="AV49" s="19">
        <v>0</v>
      </c>
      <c r="AW49" s="20">
        <v>34</v>
      </c>
      <c r="AX49" s="20">
        <v>34</v>
      </c>
      <c r="AY49" s="20">
        <v>34</v>
      </c>
      <c r="AZ49" s="19">
        <v>0</v>
      </c>
      <c r="BA49" s="19">
        <v>0</v>
      </c>
      <c r="BB49" s="19">
        <v>0</v>
      </c>
      <c r="BC49" s="20">
        <v>19</v>
      </c>
      <c r="BD49" s="20">
        <v>19</v>
      </c>
      <c r="BE49" s="20">
        <v>19</v>
      </c>
    </row>
    <row r="50" spans="1:57" ht="12.75">
      <c r="A50" s="1" t="s">
        <v>3</v>
      </c>
      <c r="B50" s="1" t="s">
        <v>4</v>
      </c>
      <c r="C50" s="4" t="s">
        <v>35</v>
      </c>
      <c r="D50" s="1"/>
      <c r="E50" s="3"/>
      <c r="G50" s="12"/>
      <c r="H50" s="39">
        <v>2500</v>
      </c>
      <c r="I50" s="39"/>
      <c r="J50" s="19">
        <v>0</v>
      </c>
      <c r="K50" s="19">
        <v>0</v>
      </c>
      <c r="L50" s="19">
        <v>0</v>
      </c>
      <c r="M50" s="20">
        <v>46</v>
      </c>
      <c r="N50" s="20">
        <v>46</v>
      </c>
      <c r="O50" s="20">
        <v>46</v>
      </c>
      <c r="P50" s="19">
        <v>5</v>
      </c>
      <c r="Q50" s="19">
        <v>10</v>
      </c>
      <c r="R50" s="19">
        <v>13</v>
      </c>
      <c r="S50" s="20">
        <v>125</v>
      </c>
      <c r="T50" s="20">
        <v>126</v>
      </c>
      <c r="U50" s="20">
        <v>132</v>
      </c>
      <c r="V50" s="19">
        <v>15</v>
      </c>
      <c r="W50" s="19">
        <v>24</v>
      </c>
      <c r="X50" s="19">
        <v>32</v>
      </c>
      <c r="Y50" s="20">
        <v>181</v>
      </c>
      <c r="Z50" s="20">
        <v>195</v>
      </c>
      <c r="AA50" s="20">
        <v>207</v>
      </c>
      <c r="AB50" s="19">
        <v>0</v>
      </c>
      <c r="AC50" s="19">
        <v>0</v>
      </c>
      <c r="AD50" s="19">
        <v>0</v>
      </c>
      <c r="AE50" s="20">
        <v>25</v>
      </c>
      <c r="AF50" s="20">
        <v>25</v>
      </c>
      <c r="AG50" s="20">
        <v>25</v>
      </c>
      <c r="AH50" s="19">
        <v>3</v>
      </c>
      <c r="AI50" s="19">
        <v>5</v>
      </c>
      <c r="AJ50" s="19">
        <v>7</v>
      </c>
      <c r="AK50" s="20">
        <v>89</v>
      </c>
      <c r="AL50" s="20">
        <v>89</v>
      </c>
      <c r="AM50" s="20">
        <v>90</v>
      </c>
      <c r="AN50" s="19">
        <v>0</v>
      </c>
      <c r="AO50" s="19">
        <v>1</v>
      </c>
      <c r="AP50" s="19">
        <v>2</v>
      </c>
      <c r="AQ50" s="20">
        <v>63</v>
      </c>
      <c r="AR50" s="20">
        <v>63</v>
      </c>
      <c r="AS50" s="20">
        <v>63</v>
      </c>
      <c r="AT50" s="19">
        <v>0</v>
      </c>
      <c r="AU50" s="19">
        <v>0</v>
      </c>
      <c r="AV50" s="19">
        <v>0</v>
      </c>
      <c r="AW50" s="20">
        <v>34</v>
      </c>
      <c r="AX50" s="20">
        <v>34</v>
      </c>
      <c r="AY50" s="20">
        <v>34</v>
      </c>
      <c r="AZ50" s="19">
        <v>0</v>
      </c>
      <c r="BA50" s="19">
        <v>0</v>
      </c>
      <c r="BB50" s="19">
        <v>0</v>
      </c>
      <c r="BC50" s="20">
        <v>19</v>
      </c>
      <c r="BD50" s="20">
        <v>19</v>
      </c>
      <c r="BE50" s="20">
        <v>19</v>
      </c>
    </row>
    <row r="51" spans="1:57" ht="12.75">
      <c r="A51" s="1" t="s">
        <v>6</v>
      </c>
      <c r="B51" s="1" t="s">
        <v>7</v>
      </c>
      <c r="C51" s="4" t="s">
        <v>37</v>
      </c>
      <c r="D51" s="1"/>
      <c r="E51" s="3"/>
      <c r="G51" s="12"/>
      <c r="H51" s="39">
        <v>3000</v>
      </c>
      <c r="I51" s="39"/>
      <c r="J51" s="19">
        <v>0</v>
      </c>
      <c r="K51" s="19">
        <v>0</v>
      </c>
      <c r="L51" s="19">
        <v>0</v>
      </c>
      <c r="M51" s="20">
        <v>46</v>
      </c>
      <c r="N51" s="20">
        <v>46</v>
      </c>
      <c r="O51" s="20">
        <v>46</v>
      </c>
      <c r="P51" s="19">
        <v>3</v>
      </c>
      <c r="Q51" s="19">
        <v>7</v>
      </c>
      <c r="R51" s="19">
        <v>10</v>
      </c>
      <c r="S51" s="20">
        <v>125</v>
      </c>
      <c r="T51" s="20">
        <v>125</v>
      </c>
      <c r="U51" s="20">
        <v>126</v>
      </c>
      <c r="V51" s="19">
        <v>11</v>
      </c>
      <c r="W51" s="19">
        <v>19</v>
      </c>
      <c r="X51" s="19">
        <v>26</v>
      </c>
      <c r="Y51" s="20">
        <v>178</v>
      </c>
      <c r="Z51" s="20">
        <v>185</v>
      </c>
      <c r="AA51" s="20">
        <v>195</v>
      </c>
      <c r="AB51" s="19">
        <v>0</v>
      </c>
      <c r="AC51" s="19">
        <v>0</v>
      </c>
      <c r="AD51" s="19">
        <v>0</v>
      </c>
      <c r="AE51" s="20">
        <v>25</v>
      </c>
      <c r="AF51" s="20">
        <v>25</v>
      </c>
      <c r="AG51" s="20">
        <v>25</v>
      </c>
      <c r="AH51" s="19">
        <v>2</v>
      </c>
      <c r="AI51" s="19">
        <v>3</v>
      </c>
      <c r="AJ51" s="19">
        <v>5</v>
      </c>
      <c r="AK51" s="20">
        <v>89</v>
      </c>
      <c r="AL51" s="20">
        <v>89</v>
      </c>
      <c r="AM51" s="20">
        <v>89</v>
      </c>
      <c r="AN51" s="19">
        <v>0</v>
      </c>
      <c r="AO51" s="19">
        <v>1</v>
      </c>
      <c r="AP51" s="19">
        <v>1</v>
      </c>
      <c r="AQ51" s="20">
        <v>63</v>
      </c>
      <c r="AR51" s="20">
        <v>63</v>
      </c>
      <c r="AS51" s="20">
        <v>63</v>
      </c>
      <c r="AT51" s="19">
        <v>0</v>
      </c>
      <c r="AU51" s="19">
        <v>0</v>
      </c>
      <c r="AV51" s="19">
        <v>0</v>
      </c>
      <c r="AW51" s="20">
        <v>34</v>
      </c>
      <c r="AX51" s="20">
        <v>34</v>
      </c>
      <c r="AY51" s="20">
        <v>34</v>
      </c>
      <c r="AZ51" s="19">
        <v>0</v>
      </c>
      <c r="BA51" s="19">
        <v>0</v>
      </c>
      <c r="BB51" s="19">
        <v>0</v>
      </c>
      <c r="BC51" s="20">
        <v>19</v>
      </c>
      <c r="BD51" s="20">
        <v>19</v>
      </c>
      <c r="BE51" s="20">
        <v>19</v>
      </c>
    </row>
    <row r="52" spans="1:57" ht="12.75">
      <c r="A52" s="5" t="s">
        <v>8</v>
      </c>
      <c r="B52" s="5" t="s">
        <v>52</v>
      </c>
      <c r="C52" s="4">
        <v>225</v>
      </c>
      <c r="D52" s="1"/>
      <c r="E52" s="3">
        <f>IF(C51="gerade","entfällt!",IF(ISERROR(MATCH("x",J55:BE55,0)),SUM(J55:BE55),"Fehler!"))</f>
        <v>3</v>
      </c>
      <c r="G52" s="12"/>
      <c r="H52" s="39">
        <v>3500</v>
      </c>
      <c r="I52" s="39"/>
      <c r="J52" s="19">
        <v>0</v>
      </c>
      <c r="K52" s="19">
        <v>0</v>
      </c>
      <c r="L52" s="19">
        <v>0</v>
      </c>
      <c r="M52" s="20">
        <v>46</v>
      </c>
      <c r="N52" s="20">
        <v>46</v>
      </c>
      <c r="O52" s="20">
        <v>46</v>
      </c>
      <c r="P52" s="19">
        <v>2</v>
      </c>
      <c r="Q52" s="19">
        <v>5</v>
      </c>
      <c r="R52" s="19">
        <v>8</v>
      </c>
      <c r="S52" s="20">
        <v>125</v>
      </c>
      <c r="T52" s="20">
        <v>125</v>
      </c>
      <c r="U52" s="20">
        <v>125</v>
      </c>
      <c r="V52" s="19">
        <v>9</v>
      </c>
      <c r="W52" s="19">
        <v>16</v>
      </c>
      <c r="X52" s="19">
        <v>21</v>
      </c>
      <c r="Y52" s="20">
        <v>178</v>
      </c>
      <c r="Z52" s="20">
        <v>178</v>
      </c>
      <c r="AA52" s="20">
        <v>187</v>
      </c>
      <c r="AB52" s="19">
        <v>0</v>
      </c>
      <c r="AC52" s="19">
        <v>0</v>
      </c>
      <c r="AD52" s="19">
        <v>0</v>
      </c>
      <c r="AE52" s="20">
        <v>25</v>
      </c>
      <c r="AF52" s="20">
        <v>25</v>
      </c>
      <c r="AG52" s="20">
        <v>25</v>
      </c>
      <c r="AH52" s="19">
        <v>1</v>
      </c>
      <c r="AI52" s="19">
        <v>2</v>
      </c>
      <c r="AJ52" s="19">
        <v>4</v>
      </c>
      <c r="AK52" s="20">
        <v>89</v>
      </c>
      <c r="AL52" s="20">
        <v>89</v>
      </c>
      <c r="AM52" s="20">
        <v>89</v>
      </c>
      <c r="AN52" s="19">
        <v>0</v>
      </c>
      <c r="AO52" s="19">
        <v>0</v>
      </c>
      <c r="AP52" s="19">
        <v>1</v>
      </c>
      <c r="AQ52" s="20">
        <v>63</v>
      </c>
      <c r="AR52" s="20">
        <v>63</v>
      </c>
      <c r="AS52" s="20">
        <v>63</v>
      </c>
      <c r="AT52" s="19">
        <v>0</v>
      </c>
      <c r="AU52" s="19">
        <v>0</v>
      </c>
      <c r="AV52" s="19">
        <v>0</v>
      </c>
      <c r="AW52" s="20">
        <v>34</v>
      </c>
      <c r="AX52" s="20">
        <v>34</v>
      </c>
      <c r="AY52" s="20">
        <v>34</v>
      </c>
      <c r="AZ52" s="19">
        <v>0</v>
      </c>
      <c r="BA52" s="19">
        <v>0</v>
      </c>
      <c r="BB52" s="19">
        <v>0</v>
      </c>
      <c r="BC52" s="20">
        <v>19</v>
      </c>
      <c r="BD52" s="20">
        <v>19</v>
      </c>
      <c r="BE52" s="20">
        <v>19</v>
      </c>
    </row>
    <row r="53" spans="1:57" ht="12.75">
      <c r="A53" s="5" t="s">
        <v>9</v>
      </c>
      <c r="B53" s="5" t="s">
        <v>10</v>
      </c>
      <c r="C53" s="4">
        <v>125</v>
      </c>
      <c r="D53" s="1"/>
      <c r="E53" s="3" t="str">
        <f>CONCATENATE(I22,J22,K22,L22,M22,N22,O22,P22)</f>
        <v>A</v>
      </c>
      <c r="G53" s="12"/>
      <c r="H53" s="39">
        <v>4000</v>
      </c>
      <c r="I53" s="39"/>
      <c r="J53" s="19">
        <v>0</v>
      </c>
      <c r="K53" s="19">
        <v>0</v>
      </c>
      <c r="L53" s="19">
        <v>0</v>
      </c>
      <c r="M53" s="20">
        <v>46</v>
      </c>
      <c r="N53" s="20">
        <v>46</v>
      </c>
      <c r="O53" s="20">
        <v>46</v>
      </c>
      <c r="P53" s="19">
        <v>1</v>
      </c>
      <c r="Q53" s="19">
        <v>4</v>
      </c>
      <c r="R53" s="19">
        <v>6</v>
      </c>
      <c r="S53" s="20">
        <v>125</v>
      </c>
      <c r="T53" s="20">
        <v>125</v>
      </c>
      <c r="U53" s="20">
        <v>125</v>
      </c>
      <c r="V53" s="19">
        <v>6</v>
      </c>
      <c r="W53" s="19">
        <v>13</v>
      </c>
      <c r="X53" s="19">
        <v>18</v>
      </c>
      <c r="Y53" s="20">
        <v>178</v>
      </c>
      <c r="Z53" s="20">
        <v>178</v>
      </c>
      <c r="AA53" s="20">
        <v>181</v>
      </c>
      <c r="AB53" s="19">
        <v>0</v>
      </c>
      <c r="AC53" s="19">
        <v>0</v>
      </c>
      <c r="AD53" s="19">
        <v>0</v>
      </c>
      <c r="AE53" s="20">
        <v>25</v>
      </c>
      <c r="AF53" s="20">
        <v>25</v>
      </c>
      <c r="AG53" s="20">
        <v>25</v>
      </c>
      <c r="AH53" s="19">
        <v>0</v>
      </c>
      <c r="AI53" s="19">
        <v>1</v>
      </c>
      <c r="AJ53" s="19">
        <v>3</v>
      </c>
      <c r="AK53" s="20">
        <v>89</v>
      </c>
      <c r="AL53" s="20">
        <v>89</v>
      </c>
      <c r="AM53" s="20">
        <v>89</v>
      </c>
      <c r="AN53" s="19">
        <v>0</v>
      </c>
      <c r="AO53" s="19">
        <v>0</v>
      </c>
      <c r="AP53" s="19">
        <v>0</v>
      </c>
      <c r="AQ53" s="20">
        <v>63</v>
      </c>
      <c r="AR53" s="20">
        <v>63</v>
      </c>
      <c r="AS53" s="20">
        <v>63</v>
      </c>
      <c r="AT53" s="19">
        <v>0</v>
      </c>
      <c r="AU53" s="19">
        <v>0</v>
      </c>
      <c r="AV53" s="19">
        <v>0</v>
      </c>
      <c r="AW53" s="20">
        <v>34</v>
      </c>
      <c r="AX53" s="20">
        <v>34</v>
      </c>
      <c r="AY53" s="20">
        <v>34</v>
      </c>
      <c r="AZ53" s="19">
        <v>0</v>
      </c>
      <c r="BA53" s="19">
        <v>0</v>
      </c>
      <c r="BB53" s="19">
        <v>0</v>
      </c>
      <c r="BC53" s="20">
        <v>19</v>
      </c>
      <c r="BD53" s="20">
        <v>19</v>
      </c>
      <c r="BE53" s="20">
        <v>19</v>
      </c>
    </row>
    <row r="54" spans="1:57" ht="12.75">
      <c r="A54" s="5" t="s">
        <v>53</v>
      </c>
      <c r="B54" s="5" t="s">
        <v>54</v>
      </c>
      <c r="C54" s="4">
        <v>20</v>
      </c>
      <c r="D54" s="1"/>
      <c r="E54" s="3">
        <f>IF(C51="gerade",HLOOKUP(C49,H59:O60,2),IF(ISERROR(MATCH("x",J56:BE56,0)),SUM(J56:BE56),"Fehler!"))</f>
        <v>29</v>
      </c>
      <c r="G54" s="12"/>
      <c r="H54" s="69" t="s">
        <v>57</v>
      </c>
      <c r="I54" s="47"/>
      <c r="J54" s="18">
        <f>IF(AND($C$3="H0",$E$6="A"),VLOOKUP($C$7,$H$28:$BE$53,3),"")</f>
        <v>6</v>
      </c>
      <c r="K54" s="18">
        <f>IF(AND($C$3="H0",$E$6="B"),VLOOKUP($C$7,$H$28:$BE$53,4),"")</f>
      </c>
      <c r="L54" s="18">
        <f>IF(AND($C$3="H0",$E$6="C"),VLOOKUP($C$7,$H$28:$BE$53,5),"")</f>
      </c>
      <c r="M54" s="10"/>
      <c r="N54" s="10"/>
      <c r="O54" s="10"/>
      <c r="P54" s="18">
        <f>IF(AND($C$3="I",$E$6="A"),VLOOKUP($C$7,$H$28:$BE$53,9),"")</f>
      </c>
      <c r="Q54" s="18">
        <f>IF(AND($C$3="I",$E$6="B"),VLOOKUP($C$7,$H$28:$BE$53,10),"")</f>
      </c>
      <c r="R54" s="18">
        <f>IF(AND($C$3="I",$E$6="C"),VLOOKUP($C$7,$H$28:$BE$53,11),"")</f>
      </c>
      <c r="S54" s="10"/>
      <c r="T54" s="10"/>
      <c r="U54" s="10"/>
      <c r="V54" s="18">
        <f>IF(AND($C$3="II",$E$6="A"),VLOOKUP($C$7,$H$28:$BE$53,15),"")</f>
      </c>
      <c r="W54" s="18">
        <f>IF(AND($C$3="II",$E$6="B"),VLOOKUP($C$7,$H$28:$BE$53,16),"")</f>
      </c>
      <c r="X54" s="18">
        <f>IF(AND($C$3="II",$E$6="C"),VLOOKUP($C$7,$H$28:$BE$53,17),"")</f>
      </c>
      <c r="Y54" s="10"/>
      <c r="Z54" s="10"/>
      <c r="AA54" s="10"/>
      <c r="AB54" s="18">
        <f>IF(AND($C$3="N",$E$6="A"),VLOOKUP($C$7,$H$28:$BE$53,21),"")</f>
      </c>
      <c r="AC54" s="18">
        <f>IF(AND($C$3="N",$E$6="B"),VLOOKUP($C$7,$H$28:$BE$53,22),"")</f>
      </c>
      <c r="AD54" s="18">
        <f>IF(AND($C$3="N",$E$6="C"),VLOOKUP($C$7,$H$28:$BE$53,23),"")</f>
      </c>
      <c r="AE54" s="10"/>
      <c r="AF54" s="10"/>
      <c r="AG54" s="10"/>
      <c r="AH54" s="18">
        <f>IF(AND($C$3="O",$E$6="A"),VLOOKUP($C$7,$H$28:$BE$53,27),"")</f>
      </c>
      <c r="AI54" s="18">
        <f>IF(AND($C$3="O",$E$6="B"),VLOOKUP($C$7,$H$28:$BE$53,28),"")</f>
      </c>
      <c r="AJ54" s="18">
        <f>IF(AND($C$3="O",$E$6="C"),VLOOKUP($C$7,$H$28:$BE$53,29),"")</f>
      </c>
      <c r="AK54" s="10"/>
      <c r="AL54" s="10"/>
      <c r="AM54" s="10"/>
      <c r="AN54" s="18">
        <f>IF(AND($C$3="S",$E$6="A"),VLOOKUP($C$7,$H$28:$BE$53,33),"")</f>
      </c>
      <c r="AO54" s="18">
        <f>IF(AND($C$3="S",$E$6="B"),VLOOKUP($C$7,$H$28:$BE$53,34),"")</f>
      </c>
      <c r="AP54" s="18">
        <f>IF(AND($C$3="S",$E$6="C"),VLOOKUP($C$7,$H$28:$BE$53,35),"")</f>
      </c>
      <c r="AQ54" s="10"/>
      <c r="AR54" s="10"/>
      <c r="AS54" s="10"/>
      <c r="AT54" s="18">
        <f>IF(AND($C$3="TT",$E$6="A"),VLOOKUP($C$7,$H$28:$BE$53,39),"")</f>
      </c>
      <c r="AU54" s="18">
        <f>IF(AND($C$3="TT",$E$6="B"),VLOOKUP($C$7,$H$28:$BE$53,40),"")</f>
      </c>
      <c r="AV54" s="18">
        <f>IF(AND($C$3="TT",$E$6="C"),VLOOKUP($C$7,$H$28:$BE$53,41),"")</f>
      </c>
      <c r="AW54" s="10"/>
      <c r="AX54" s="10"/>
      <c r="AY54" s="10"/>
      <c r="AZ54" s="18">
        <f>IF(AND($C$3="Z",$E$6="A"),VLOOKUP($C$7,$H$28:$BE$53,45),"")</f>
      </c>
      <c r="BA54" s="18">
        <f>IF(AND($C$3="Z",$E$6="B"),VLOOKUP($C$7,$H$28:$BE$53,46),"")</f>
      </c>
      <c r="BB54" s="18">
        <f>IF(AND($C$3="Z",$E$6="C"),VLOOKUP($C$7,$H$28:$BE$53,47),"")</f>
      </c>
      <c r="BC54" s="10"/>
      <c r="BD54" s="10"/>
      <c r="BE54" s="10"/>
    </row>
    <row r="55" spans="7:57" ht="12.75">
      <c r="G55" s="12"/>
      <c r="H55" s="68" t="s">
        <v>58</v>
      </c>
      <c r="I55" s="68"/>
      <c r="J55" s="18">
        <f>IF(AND($C$49="H0",$E$53="A"),VLOOKUP($C$52,$H$28:$BE$53,3),"")</f>
      </c>
      <c r="K55" s="18">
        <f>IF(AND($C$49="H0",$E$53="B"),VLOOKUP($C$52,$H$28:$BE$53,4),"")</f>
      </c>
      <c r="L55" s="18">
        <f>IF(AND($C$49="H0",$E$53="C"),VLOOKUP($C$52,$H$28:$BE$53,5),"")</f>
      </c>
      <c r="M55" s="10"/>
      <c r="N55" s="10"/>
      <c r="O55" s="10"/>
      <c r="P55" s="18">
        <f>IF(AND($C$49="I",$E$53="A"),VLOOKUP($C$52,$H$28:$BE$53,9),"")</f>
      </c>
      <c r="Q55" s="18">
        <f>IF(AND($C$49="I",$E$53="B"),VLOOKUP($C$52,$H$28:$BE$53,10),"")</f>
      </c>
      <c r="R55" s="18">
        <f>IF(AND($C$49="I",$E$53="C"),VLOOKUP($C$52,$H$28:$BE$53,11),"")</f>
      </c>
      <c r="S55" s="10"/>
      <c r="T55" s="10"/>
      <c r="U55" s="10"/>
      <c r="V55" s="18">
        <f>IF(AND($C$49="II",$E$53="A"),VLOOKUP($C$52,$H$28:$BE$53,15),"")</f>
      </c>
      <c r="W55" s="18">
        <f>IF(AND($C$49="II",$E$53="B"),VLOOKUP($C$52,$H$28:$BE$53,16),"")</f>
      </c>
      <c r="X55" s="18">
        <f>IF(AND($C$49="II",$E$53="C"),VLOOKUP($C$52,$H$28:$BE$53,17),"")</f>
      </c>
      <c r="Y55" s="10"/>
      <c r="Z55" s="10"/>
      <c r="AA55" s="10"/>
      <c r="AB55" s="18">
        <f>IF(AND($C$49="N",$E$53="A"),VLOOKUP($C$52,$H$28:$BE$53,21),"")</f>
        <v>3</v>
      </c>
      <c r="AC55" s="18">
        <f>IF(AND($C$49="N",$E$53="B"),VLOOKUP($C$52,$H$28:$BE$53,22),"")</f>
      </c>
      <c r="AD55" s="18">
        <f>IF(AND($C$49="N",$E$53="C"),VLOOKUP($C$52,$H$28:$BE$53,23),"")</f>
      </c>
      <c r="AE55" s="10"/>
      <c r="AF55" s="10"/>
      <c r="AG55" s="10"/>
      <c r="AH55" s="18">
        <f>IF(AND($C$49="O",$E$53="A"),VLOOKUP($C$52,$H$28:$BE$53,27),"")</f>
      </c>
      <c r="AI55" s="18">
        <f>IF(AND($C$49="O",$E$53="B"),VLOOKUP($C$52,$H$28:$BE$53,28),"")</f>
      </c>
      <c r="AJ55" s="18">
        <f>IF(AND($C$49="O",$E$53="C"),VLOOKUP($C$52,$H$28:$BE$53,29),"")</f>
      </c>
      <c r="AK55" s="10"/>
      <c r="AL55" s="10"/>
      <c r="AM55" s="10"/>
      <c r="AN55" s="18">
        <f>IF(AND($C$49="S",$E$53="A"),VLOOKUP($C$52,$H$28:$BE$53,33),"")</f>
      </c>
      <c r="AO55" s="18">
        <f>IF(AND($C$49="S",$E$53="B"),VLOOKUP($C$52,$H$28:$BE$53,34),"")</f>
      </c>
      <c r="AP55" s="18">
        <f>IF(AND($C$49="S",$E$53="C"),VLOOKUP($C$52,$H$28:$BE$53,35),"")</f>
      </c>
      <c r="AQ55" s="10"/>
      <c r="AR55" s="10"/>
      <c r="AS55" s="10"/>
      <c r="AT55" s="18">
        <f>IF(AND($C$49="TT",$E$53="A"),VLOOKUP($C$52,$H$28:$BE$53,39),"")</f>
      </c>
      <c r="AU55" s="18">
        <f>IF(AND($C$49="TT",$E$53="B"),VLOOKUP($C$52,$H$28:$BE$53,40),"")</f>
      </c>
      <c r="AV55" s="18">
        <f>IF(AND($C$49="TT",$E$53="C"),VLOOKUP($C$52,$H$28:$BE$53,41),"")</f>
      </c>
      <c r="AW55" s="10"/>
      <c r="AX55" s="10"/>
      <c r="AY55" s="10"/>
      <c r="AZ55" s="18">
        <f>IF(AND($C$49="Z",$E$53="A"),VLOOKUP($C$52,$H$28:$BE$53,45),"")</f>
      </c>
      <c r="BA55" s="18">
        <f>IF(AND($C$49="Z",$E$53="B"),VLOOKUP($C$52,$H$28:$BE$53,46),"")</f>
      </c>
      <c r="BB55" s="18">
        <f>IF(AND($C$49="Z",$E$53="C"),VLOOKUP($C$52,$H$28:$BE$53,47),"")</f>
      </c>
      <c r="BC55" s="10"/>
      <c r="BD55" s="10"/>
      <c r="BE55" s="10"/>
    </row>
    <row r="56" spans="1:57" ht="12.75">
      <c r="A56" s="1" t="s">
        <v>11</v>
      </c>
      <c r="B56" s="1" t="s">
        <v>55</v>
      </c>
      <c r="C56" s="22">
        <f>IF(W11="Bogen",1.7*E49,IF(X6="Ja",1.8*E49,1.5*E49))</f>
        <v>15.299999999999999</v>
      </c>
      <c r="D56" s="1"/>
      <c r="E56" s="3" t="s">
        <v>13</v>
      </c>
      <c r="H56" s="57" t="s">
        <v>61</v>
      </c>
      <c r="I56" s="47"/>
      <c r="J56" s="10"/>
      <c r="K56" s="10"/>
      <c r="L56" s="10"/>
      <c r="M56" s="18">
        <f>IF(AND($C$49="H0",$E$53="A"),VLOOKUP($C$52,$H$28:$BE$53,6),"")</f>
      </c>
      <c r="N56" s="18">
        <f>IF(AND($C$49="H0",$E$53="B"),VLOOKUP($C$52,$H$28:$BE$53,7),"")</f>
      </c>
      <c r="O56" s="18">
        <f>IF(AND($C$49="H0",$E$53="C"),VLOOKUP($C$52,$H$28:$BE$53,8),"")</f>
      </c>
      <c r="P56" s="10"/>
      <c r="Q56" s="10"/>
      <c r="R56" s="10"/>
      <c r="S56" s="18">
        <f>IF(AND($C$49="I",$E$53="A"),VLOOKUP($C$52,$H$28:$BE$53,12),"")</f>
      </c>
      <c r="T56" s="18">
        <f>IF(AND($C$49="I",$E$53="B"),VLOOKUP($C$52,$H$28:$BE$53,13),"")</f>
      </c>
      <c r="U56" s="18">
        <f>IF(AND($C$49="I",$E$53="C"),VLOOKUP($C$52,$H$28:$BE$53,14),"")</f>
      </c>
      <c r="V56" s="10"/>
      <c r="W56" s="10"/>
      <c r="X56" s="10"/>
      <c r="Y56" s="18">
        <f>IF(AND($C$49="II",$E$53="A"),VLOOKUP($C$52,$H$28:$BE$53,18),"")</f>
      </c>
      <c r="Z56" s="18">
        <f>IF(AND($C$49="II",$E$53="B"),VLOOKUP($C$52,$H$28:$BE$53,19),"")</f>
      </c>
      <c r="AA56" s="18">
        <f>IF(AND($C$49="II",$E$53="C"),VLOOKUP($C$52,$H$28:$BE$53,20),"")</f>
      </c>
      <c r="AB56" s="10"/>
      <c r="AC56" s="10"/>
      <c r="AD56" s="10"/>
      <c r="AE56" s="18">
        <f>IF(AND($C$49="N",$E$53="A"),VLOOKUP($C$52,$H$28:$BE$53,24),"")</f>
        <v>29</v>
      </c>
      <c r="AF56" s="18">
        <f>IF(AND($C$49="N",$E$53="B"),VLOOKUP($C$52,$H$28:$BE$53,25),"")</f>
      </c>
      <c r="AG56" s="18">
        <f>IF(AND($C$49="N",$E$53="C"),VLOOKUP($C$52,$H$28:$BE$53,26),"")</f>
      </c>
      <c r="AH56" s="10"/>
      <c r="AI56" s="10"/>
      <c r="AJ56" s="10"/>
      <c r="AK56" s="18">
        <f>IF(AND($C$49="O",$E$53="A"),VLOOKUP($C$52,$H$28:$BE$53,30),"")</f>
      </c>
      <c r="AL56" s="18">
        <f>IF(AND($C$49="O",$E$53="B"),VLOOKUP($C$52,$H$28:$BE$53,31),"")</f>
      </c>
      <c r="AM56" s="18">
        <f>IF(AND($C$49="O",$E$53="C"),VLOOKUP($C$52,$H$28:$BE$53,32),"")</f>
      </c>
      <c r="AN56" s="10"/>
      <c r="AO56" s="10"/>
      <c r="AP56" s="10"/>
      <c r="AQ56" s="18">
        <f>IF(AND($C$49="S",$E$53="A"),VLOOKUP($C$52,$H$28:$BE$53,36),"")</f>
      </c>
      <c r="AR56" s="18">
        <f>IF(AND($C$49="S",$E$53="B"),VLOOKUP($C$52,$H$28:$BE$53,37),"")</f>
      </c>
      <c r="AS56" s="18">
        <f>IF(AND($C$49="S",$E$53="C"),VLOOKUP($C$52,$H$28:$BE$53,38),"")</f>
      </c>
      <c r="AT56" s="10"/>
      <c r="AU56" s="10"/>
      <c r="AV56" s="10"/>
      <c r="AW56" s="18">
        <f>IF(AND($C$49="TT",$E$53="A"),VLOOKUP($C$52,$H$28:$BE$53,42),"")</f>
      </c>
      <c r="AX56" s="18">
        <f>IF(AND($C$49="TT",$E$53="B"),VLOOKUP($C$52,$H$28:$BE$53,43),"")</f>
      </c>
      <c r="AY56" s="18">
        <f>IF(AND($C$49="TT",$E$53="C"),VLOOKUP($C$52,$H$28:$BE$53,44),"")</f>
      </c>
      <c r="AZ56" s="10"/>
      <c r="BA56" s="10"/>
      <c r="BB56" s="10"/>
      <c r="BC56" s="18">
        <f>IF(AND($C$49="Z",$E$53="A"),VLOOKUP($C$52,$H$28:$BE$53,48),"")</f>
      </c>
      <c r="BD56" s="18">
        <f>IF(AND($C$49="Z",$E$53="B"),VLOOKUP($C$52,$H$28:$BE$53,49),"")</f>
      </c>
      <c r="BE56" s="18">
        <f>IF(AND($C$49="Z",$E$53="C"),VLOOKUP($C$52,$H$28:$BE$53,50),"")</f>
      </c>
    </row>
    <row r="57" spans="1:57" ht="12.75">
      <c r="A57" s="1" t="s">
        <v>14</v>
      </c>
      <c r="B57" s="1" t="s">
        <v>56</v>
      </c>
      <c r="C57" s="22">
        <f>IF(C51="gerade",0.5*C54+0.6*J15,0.5*C54+0.6*J15+SUM(J55:BE55))</f>
        <v>29.2</v>
      </c>
      <c r="D57" s="1"/>
      <c r="E57" s="3" t="s">
        <v>13</v>
      </c>
      <c r="J57" s="11"/>
      <c r="K57" s="11"/>
      <c r="L57" s="11"/>
      <c r="M57" s="21"/>
      <c r="N57" s="21"/>
      <c r="O57" s="21"/>
      <c r="P57" s="11"/>
      <c r="Q57" s="11"/>
      <c r="R57" s="11"/>
      <c r="S57" s="21"/>
      <c r="T57" s="21"/>
      <c r="U57" s="21"/>
      <c r="V57" s="11"/>
      <c r="W57" s="11"/>
      <c r="X57" s="11"/>
      <c r="Y57" s="21"/>
      <c r="Z57" s="21"/>
      <c r="AA57" s="21"/>
      <c r="AB57" s="11"/>
      <c r="AC57" s="11"/>
      <c r="AD57" s="11"/>
      <c r="AE57" s="21"/>
      <c r="AF57" s="21"/>
      <c r="AG57" s="21"/>
      <c r="AH57" s="11"/>
      <c r="AI57" s="11"/>
      <c r="AJ57" s="11"/>
      <c r="AK57" s="21"/>
      <c r="AL57" s="21"/>
      <c r="AM57" s="21"/>
      <c r="AN57" s="11"/>
      <c r="AO57" s="11"/>
      <c r="AP57" s="11"/>
      <c r="AQ57" s="21"/>
      <c r="AR57" s="21"/>
      <c r="AS57" s="21"/>
      <c r="AT57" s="11"/>
      <c r="AU57" s="11"/>
      <c r="AV57" s="11"/>
      <c r="AW57" s="21"/>
      <c r="AX57" s="21"/>
      <c r="AY57" s="21"/>
      <c r="AZ57" s="11"/>
      <c r="BA57" s="11"/>
      <c r="BB57" s="11"/>
      <c r="BC57" s="21"/>
      <c r="BD57" s="21"/>
      <c r="BE57" s="21"/>
    </row>
    <row r="58" spans="1:15" ht="12.75">
      <c r="A58" s="1" t="s">
        <v>16</v>
      </c>
      <c r="B58" s="1" t="s">
        <v>21</v>
      </c>
      <c r="C58" s="22">
        <f>2*C57</f>
        <v>58.4</v>
      </c>
      <c r="D58" s="1"/>
      <c r="E58" s="3" t="s">
        <v>13</v>
      </c>
      <c r="H58" s="34" t="s">
        <v>64</v>
      </c>
      <c r="I58" s="35"/>
      <c r="J58" s="35"/>
      <c r="K58" s="35"/>
      <c r="L58" s="35"/>
      <c r="M58" s="35"/>
      <c r="N58" s="35"/>
      <c r="O58" s="36"/>
    </row>
    <row r="59" spans="8:15" ht="12.75">
      <c r="H59" s="16" t="s">
        <v>26</v>
      </c>
      <c r="I59" s="16" t="s">
        <v>28</v>
      </c>
      <c r="J59" s="16" t="s">
        <v>29</v>
      </c>
      <c r="K59" s="16" t="s">
        <v>24</v>
      </c>
      <c r="L59" s="16" t="s">
        <v>32</v>
      </c>
      <c r="M59" s="17" t="s">
        <v>27</v>
      </c>
      <c r="N59" s="17" t="s">
        <v>25</v>
      </c>
      <c r="O59" s="17" t="s">
        <v>23</v>
      </c>
    </row>
    <row r="60" spans="1:15" ht="12.75">
      <c r="A60" s="65" t="str">
        <f>IF(E52="Fehler!","",IF(C54&lt;E54,CONCATENATE("Fehlermeldung - Gleisabstand zu klein! Min.: ",E54," mm"),""))</f>
        <v>Fehlermeldung - Gleisabstand zu klein! Min.: 29 mm</v>
      </c>
      <c r="B60" s="66"/>
      <c r="C60" s="66"/>
      <c r="D60" s="66"/>
      <c r="E60" s="67"/>
      <c r="H60" s="3">
        <v>46</v>
      </c>
      <c r="I60" s="3">
        <v>125</v>
      </c>
      <c r="J60" s="3">
        <v>178</v>
      </c>
      <c r="K60" s="3">
        <v>25</v>
      </c>
      <c r="L60" s="3">
        <v>89</v>
      </c>
      <c r="M60" s="3">
        <v>63</v>
      </c>
      <c r="N60" s="3">
        <v>34</v>
      </c>
      <c r="O60" s="3">
        <v>19</v>
      </c>
    </row>
    <row r="61" spans="1:5" ht="12.75">
      <c r="A61" s="65">
        <f>IF(E54="Fehler!","Fehlermeldung - Radius zu klein oder Wagenkasten zu lang!","")</f>
      </c>
      <c r="B61" s="66"/>
      <c r="C61" s="66"/>
      <c r="D61" s="66"/>
      <c r="E61" s="67"/>
    </row>
  </sheetData>
  <mergeCells count="83">
    <mergeCell ref="H1:BE1"/>
    <mergeCell ref="A61:E61"/>
    <mergeCell ref="H55:I55"/>
    <mergeCell ref="K3:L12"/>
    <mergeCell ref="H56:I56"/>
    <mergeCell ref="A60:E60"/>
    <mergeCell ref="H54:I54"/>
    <mergeCell ref="A15:E15"/>
    <mergeCell ref="A47:E48"/>
    <mergeCell ref="K14:L14"/>
    <mergeCell ref="K15:L15"/>
    <mergeCell ref="Y5:AA5"/>
    <mergeCell ref="Y6:AA6"/>
    <mergeCell ref="W11:X11"/>
    <mergeCell ref="Y10:AA10"/>
    <mergeCell ref="Y11:AA11"/>
    <mergeCell ref="T7:AA7"/>
    <mergeCell ref="Y8:AA9"/>
    <mergeCell ref="H16:S16"/>
    <mergeCell ref="R17:S20"/>
    <mergeCell ref="A1:E2"/>
    <mergeCell ref="T3:X3"/>
    <mergeCell ref="T4:X4"/>
    <mergeCell ref="T2:AA2"/>
    <mergeCell ref="Y3:AA4"/>
    <mergeCell ref="T8:X8"/>
    <mergeCell ref="T9:X9"/>
    <mergeCell ref="W10:X10"/>
    <mergeCell ref="H29:I29"/>
    <mergeCell ref="R21:S21"/>
    <mergeCell ref="R22:S22"/>
    <mergeCell ref="AH26:AJ26"/>
    <mergeCell ref="H28:I28"/>
    <mergeCell ref="H25:I27"/>
    <mergeCell ref="J25:O25"/>
    <mergeCell ref="J26:L26"/>
    <mergeCell ref="M26:O26"/>
    <mergeCell ref="AH25:AM25"/>
    <mergeCell ref="H24:BE24"/>
    <mergeCell ref="V26:X26"/>
    <mergeCell ref="AB26:AD26"/>
    <mergeCell ref="V25:AA25"/>
    <mergeCell ref="AB25:AG25"/>
    <mergeCell ref="P25:U25"/>
    <mergeCell ref="P26:R26"/>
    <mergeCell ref="S26:U26"/>
    <mergeCell ref="H30:I30"/>
    <mergeCell ref="H31:I31"/>
    <mergeCell ref="H32:I32"/>
    <mergeCell ref="H33:I33"/>
    <mergeCell ref="H34:I34"/>
    <mergeCell ref="H35:I35"/>
    <mergeCell ref="H36:I36"/>
    <mergeCell ref="H37:I37"/>
    <mergeCell ref="H38:I38"/>
    <mergeCell ref="H39:I39"/>
    <mergeCell ref="H40:I40"/>
    <mergeCell ref="H41:I41"/>
    <mergeCell ref="H48:I48"/>
    <mergeCell ref="H49:I49"/>
    <mergeCell ref="H42:I42"/>
    <mergeCell ref="H43:I43"/>
    <mergeCell ref="H44:I44"/>
    <mergeCell ref="H45:I45"/>
    <mergeCell ref="AQ26:AS26"/>
    <mergeCell ref="AN25:AS25"/>
    <mergeCell ref="AT25:AY25"/>
    <mergeCell ref="AZ25:BE25"/>
    <mergeCell ref="BC26:BE26"/>
    <mergeCell ref="AW26:AY26"/>
    <mergeCell ref="AZ26:BB26"/>
    <mergeCell ref="AN26:AP26"/>
    <mergeCell ref="AT26:AV26"/>
    <mergeCell ref="H58:O58"/>
    <mergeCell ref="Y26:AA26"/>
    <mergeCell ref="AE26:AG26"/>
    <mergeCell ref="AK26:AM26"/>
    <mergeCell ref="H50:I50"/>
    <mergeCell ref="H51:I51"/>
    <mergeCell ref="H52:I52"/>
    <mergeCell ref="H53:I53"/>
    <mergeCell ref="H46:I46"/>
    <mergeCell ref="H47:I47"/>
  </mergeCells>
  <dataValidations count="10">
    <dataValidation type="list" allowBlank="1" showInputMessage="1" showErrorMessage="1" sqref="C3">
      <formula1>H4:H12</formula1>
    </dataValidation>
    <dataValidation type="list" allowBlank="1" showInputMessage="1" showErrorMessage="1" sqref="C6">
      <formula1>IF(C3="H0",I18:I20,IF(C3="I",J18:J20,IF(C3="II",K18:K20,IF(C3="N",L18:L20,IF(C3="O",M18:M20,IF(C3="S",N18:N20,IF(C3="TT",O18:O20,P18:P20)))))))</formula1>
    </dataValidation>
    <dataValidation type="list" allowBlank="1" showInputMessage="1" showErrorMessage="1" sqref="C7">
      <formula1>H28:$H$53</formula1>
    </dataValidation>
    <dataValidation type="list" allowBlank="1" showInputMessage="1" showErrorMessage="1" sqref="C5">
      <formula1>$T$8:$T$9</formula1>
    </dataValidation>
    <dataValidation type="list" allowBlank="1" showInputMessage="1" showErrorMessage="1" sqref="C4">
      <formula1>$T$3:$T$4</formula1>
    </dataValidation>
    <dataValidation type="list" allowBlank="1" showInputMessage="1" showErrorMessage="1" sqref="C49">
      <formula1>$H$4:$H$11</formula1>
    </dataValidation>
    <dataValidation type="list" allowBlank="1" showInputMessage="1" showErrorMessage="1" sqref="C52">
      <formula1>$H$28:$H$53</formula1>
    </dataValidation>
    <dataValidation type="list" allowBlank="1" showInputMessage="1" showErrorMessage="1" sqref="C51">
      <formula1>T8:T9</formula1>
    </dataValidation>
    <dataValidation type="list" allowBlank="1" showInputMessage="1" showErrorMessage="1" sqref="C50">
      <formula1>T3:T4</formula1>
    </dataValidation>
    <dataValidation type="list" allowBlank="1" showInputMessage="1" showErrorMessage="1" sqref="C53">
      <formula1>IF(C49="H0",I18:I20,IF(C49="I",J18:J20,IF(C49="II",K18:K20,IF(C49="N",L18:L20,IF(C49="O",M18:M20,IF(C49="S",N18:N20,IF(C49="TT",O18:O20,P18:P20)))))))</formula1>
    </dataValidation>
  </dataValidation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30"/>
  <sheetViews>
    <sheetView workbookViewId="0" topLeftCell="A1">
      <selection activeCell="A18" sqref="A18:H30"/>
    </sheetView>
  </sheetViews>
  <sheetFormatPr defaultColWidth="11.421875" defaultRowHeight="12.75"/>
  <sheetData>
    <row r="1" spans="1:8" ht="12.75">
      <c r="A1" s="71" t="s">
        <v>0</v>
      </c>
      <c r="B1" s="72"/>
      <c r="C1" s="72"/>
      <c r="D1" s="72"/>
      <c r="E1" s="72"/>
      <c r="F1" s="73"/>
      <c r="G1" s="73"/>
      <c r="H1" s="73"/>
    </row>
    <row r="2" spans="1:8" ht="12.75">
      <c r="A2" s="71"/>
      <c r="B2" s="72"/>
      <c r="C2" s="72"/>
      <c r="D2" s="72"/>
      <c r="E2" s="72"/>
      <c r="F2" s="73"/>
      <c r="G2" s="73"/>
      <c r="H2" s="73"/>
    </row>
    <row r="3" spans="1:8" ht="12.75">
      <c r="A3" s="74" t="s">
        <v>62</v>
      </c>
      <c r="B3" s="74"/>
      <c r="C3" s="74"/>
      <c r="D3" s="74"/>
      <c r="E3" s="74"/>
      <c r="F3" s="74"/>
      <c r="G3" s="74"/>
      <c r="H3" s="74"/>
    </row>
    <row r="4" spans="1:8" ht="12.75">
      <c r="A4" s="74"/>
      <c r="B4" s="74"/>
      <c r="C4" s="74"/>
      <c r="D4" s="74"/>
      <c r="E4" s="74"/>
      <c r="F4" s="74"/>
      <c r="G4" s="74"/>
      <c r="H4" s="74"/>
    </row>
    <row r="5" spans="1:8" ht="12.75">
      <c r="A5" s="74"/>
      <c r="B5" s="74"/>
      <c r="C5" s="74"/>
      <c r="D5" s="74"/>
      <c r="E5" s="74"/>
      <c r="F5" s="74"/>
      <c r="G5" s="74"/>
      <c r="H5" s="74"/>
    </row>
    <row r="6" spans="1:8" ht="12.75">
      <c r="A6" s="74"/>
      <c r="B6" s="74"/>
      <c r="C6" s="74"/>
      <c r="D6" s="74"/>
      <c r="E6" s="74"/>
      <c r="F6" s="74"/>
      <c r="G6" s="74"/>
      <c r="H6" s="74"/>
    </row>
    <row r="7" spans="1:8" ht="12.75">
      <c r="A7" s="74"/>
      <c r="B7" s="74"/>
      <c r="C7" s="74"/>
      <c r="D7" s="74"/>
      <c r="E7" s="74"/>
      <c r="F7" s="74"/>
      <c r="G7" s="74"/>
      <c r="H7" s="74"/>
    </row>
    <row r="8" spans="1:8" ht="12.75">
      <c r="A8" s="74"/>
      <c r="B8" s="74"/>
      <c r="C8" s="74"/>
      <c r="D8" s="74"/>
      <c r="E8" s="74"/>
      <c r="F8" s="74"/>
      <c r="G8" s="74"/>
      <c r="H8" s="74"/>
    </row>
    <row r="9" spans="1:8" ht="12.75">
      <c r="A9" s="74"/>
      <c r="B9" s="74"/>
      <c r="C9" s="74"/>
      <c r="D9" s="74"/>
      <c r="E9" s="74"/>
      <c r="F9" s="74"/>
      <c r="G9" s="74"/>
      <c r="H9" s="74"/>
    </row>
    <row r="10" spans="1:8" ht="12.75">
      <c r="A10" s="74"/>
      <c r="B10" s="74"/>
      <c r="C10" s="74"/>
      <c r="D10" s="74"/>
      <c r="E10" s="74"/>
      <c r="F10" s="74"/>
      <c r="G10" s="74"/>
      <c r="H10" s="74"/>
    </row>
    <row r="11" spans="1:8" ht="12.75">
      <c r="A11" s="74"/>
      <c r="B11" s="74"/>
      <c r="C11" s="74"/>
      <c r="D11" s="74"/>
      <c r="E11" s="74"/>
      <c r="F11" s="74"/>
      <c r="G11" s="74"/>
      <c r="H11" s="74"/>
    </row>
    <row r="12" spans="1:8" ht="12.75">
      <c r="A12" s="74"/>
      <c r="B12" s="74"/>
      <c r="C12" s="74"/>
      <c r="D12" s="74"/>
      <c r="E12" s="74"/>
      <c r="F12" s="74"/>
      <c r="G12" s="74"/>
      <c r="H12" s="74"/>
    </row>
    <row r="13" spans="1:8" ht="12.75">
      <c r="A13" s="74"/>
      <c r="B13" s="74"/>
      <c r="C13" s="74"/>
      <c r="D13" s="74"/>
      <c r="E13" s="74"/>
      <c r="F13" s="74"/>
      <c r="G13" s="74"/>
      <c r="H13" s="74"/>
    </row>
    <row r="14" spans="1:8" ht="12.75">
      <c r="A14" s="74"/>
      <c r="B14" s="74"/>
      <c r="C14" s="74"/>
      <c r="D14" s="74"/>
      <c r="E14" s="74"/>
      <c r="F14" s="74"/>
      <c r="G14" s="74"/>
      <c r="H14" s="74"/>
    </row>
    <row r="15" spans="1:8" ht="12.75">
      <c r="A15" s="74"/>
      <c r="B15" s="74"/>
      <c r="C15" s="74"/>
      <c r="D15" s="74"/>
      <c r="E15" s="74"/>
      <c r="F15" s="74"/>
      <c r="G15" s="74"/>
      <c r="H15" s="74"/>
    </row>
    <row r="16" spans="1:8" ht="12.75">
      <c r="A16" s="71" t="s">
        <v>51</v>
      </c>
      <c r="B16" s="72"/>
      <c r="C16" s="72"/>
      <c r="D16" s="72"/>
      <c r="E16" s="72"/>
      <c r="F16" s="75"/>
      <c r="G16" s="75"/>
      <c r="H16" s="75"/>
    </row>
    <row r="17" spans="1:8" ht="12.75">
      <c r="A17" s="71"/>
      <c r="B17" s="72"/>
      <c r="C17" s="72"/>
      <c r="D17" s="72"/>
      <c r="E17" s="72"/>
      <c r="F17" s="75"/>
      <c r="G17" s="75"/>
      <c r="H17" s="75"/>
    </row>
    <row r="18" spans="1:8" ht="12.75">
      <c r="A18" s="74" t="s">
        <v>63</v>
      </c>
      <c r="B18" s="74"/>
      <c r="C18" s="74"/>
      <c r="D18" s="74"/>
      <c r="E18" s="74"/>
      <c r="F18" s="74"/>
      <c r="G18" s="74"/>
      <c r="H18" s="74"/>
    </row>
    <row r="19" spans="1:8" ht="12.75">
      <c r="A19" s="74"/>
      <c r="B19" s="74"/>
      <c r="C19" s="74"/>
      <c r="D19" s="74"/>
      <c r="E19" s="74"/>
      <c r="F19" s="74"/>
      <c r="G19" s="74"/>
      <c r="H19" s="74"/>
    </row>
    <row r="20" spans="1:8" ht="12.75">
      <c r="A20" s="74"/>
      <c r="B20" s="74"/>
      <c r="C20" s="74"/>
      <c r="D20" s="74"/>
      <c r="E20" s="74"/>
      <c r="F20" s="74"/>
      <c r="G20" s="74"/>
      <c r="H20" s="74"/>
    </row>
    <row r="21" spans="1:8" ht="12.75">
      <c r="A21" s="74"/>
      <c r="B21" s="74"/>
      <c r="C21" s="74"/>
      <c r="D21" s="74"/>
      <c r="E21" s="74"/>
      <c r="F21" s="74"/>
      <c r="G21" s="74"/>
      <c r="H21" s="74"/>
    </row>
    <row r="22" spans="1:8" ht="12.75">
      <c r="A22" s="74"/>
      <c r="B22" s="74"/>
      <c r="C22" s="74"/>
      <c r="D22" s="74"/>
      <c r="E22" s="74"/>
      <c r="F22" s="74"/>
      <c r="G22" s="74"/>
      <c r="H22" s="74"/>
    </row>
    <row r="23" spans="1:8" ht="12.75">
      <c r="A23" s="74"/>
      <c r="B23" s="74"/>
      <c r="C23" s="74"/>
      <c r="D23" s="74"/>
      <c r="E23" s="74"/>
      <c r="F23" s="74"/>
      <c r="G23" s="74"/>
      <c r="H23" s="74"/>
    </row>
    <row r="24" spans="1:8" ht="12.75">
      <c r="A24" s="74"/>
      <c r="B24" s="74"/>
      <c r="C24" s="74"/>
      <c r="D24" s="74"/>
      <c r="E24" s="74"/>
      <c r="F24" s="74"/>
      <c r="G24" s="74"/>
      <c r="H24" s="74"/>
    </row>
    <row r="25" spans="1:8" ht="12.75">
      <c r="A25" s="74"/>
      <c r="B25" s="74"/>
      <c r="C25" s="74"/>
      <c r="D25" s="74"/>
      <c r="E25" s="74"/>
      <c r="F25" s="74"/>
      <c r="G25" s="74"/>
      <c r="H25" s="74"/>
    </row>
    <row r="26" spans="1:8" ht="12.75">
      <c r="A26" s="74"/>
      <c r="B26" s="74"/>
      <c r="C26" s="74"/>
      <c r="D26" s="74"/>
      <c r="E26" s="74"/>
      <c r="F26" s="74"/>
      <c r="G26" s="74"/>
      <c r="H26" s="74"/>
    </row>
    <row r="27" spans="1:8" ht="12.75">
      <c r="A27" s="74"/>
      <c r="B27" s="74"/>
      <c r="C27" s="74"/>
      <c r="D27" s="74"/>
      <c r="E27" s="74"/>
      <c r="F27" s="74"/>
      <c r="G27" s="74"/>
      <c r="H27" s="74"/>
    </row>
    <row r="28" spans="1:8" ht="12.75">
      <c r="A28" s="74"/>
      <c r="B28" s="74"/>
      <c r="C28" s="74"/>
      <c r="D28" s="74"/>
      <c r="E28" s="74"/>
      <c r="F28" s="74"/>
      <c r="G28" s="74"/>
      <c r="H28" s="74"/>
    </row>
    <row r="29" spans="1:8" ht="12.75">
      <c r="A29" s="74"/>
      <c r="B29" s="74"/>
      <c r="C29" s="74"/>
      <c r="D29" s="74"/>
      <c r="E29" s="74"/>
      <c r="F29" s="74"/>
      <c r="G29" s="74"/>
      <c r="H29" s="74"/>
    </row>
    <row r="30" spans="1:8" ht="12.75">
      <c r="A30" s="74"/>
      <c r="B30" s="74"/>
      <c r="C30" s="74"/>
      <c r="D30" s="74"/>
      <c r="E30" s="74"/>
      <c r="F30" s="74"/>
      <c r="G30" s="74"/>
      <c r="H30" s="74"/>
    </row>
  </sheetData>
  <mergeCells count="4">
    <mergeCell ref="A1:H2"/>
    <mergeCell ref="A3:H15"/>
    <mergeCell ref="A16:H17"/>
    <mergeCell ref="A18:H30"/>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Arbeitsschutzverwaltung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2006-06-02T09:03:29Z</cp:lastPrinted>
  <dcterms:created xsi:type="dcterms:W3CDTF">2006-06-02T09:01:42Z</dcterms:created>
  <dcterms:modified xsi:type="dcterms:W3CDTF">2006-06-08T13:11:29Z</dcterms:modified>
  <cp:category/>
  <cp:version/>
  <cp:contentType/>
  <cp:contentStatus/>
</cp:coreProperties>
</file>